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13_ncr:1_{9D580571-7B7E-4BB3-B091-FBAB3DF9EE18}" xr6:coauthVersionLast="47" xr6:coauthVersionMax="47" xr10:uidLastSave="{00000000-0000-0000-0000-000000000000}"/>
  <bookViews>
    <workbookView xWindow="-120" yWindow="-120" windowWidth="24240" windowHeight="13020" tabRatio="601" firstSheet="5" activeTab="9"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Processing'!$A$3:$J$189</definedName>
    <definedName name="_xlnm.Print_Area" localSheetId="14">'14. Facility 3 Warehouse'!$A$1:$J$51</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Details'!$A$1:$H$101</definedName>
    <definedName name="_xlnm.Print_Area" localSheetId="3">'3.Other Exp &amp; Taxes'!$A$1:$R$105</definedName>
    <definedName name="_xlnm.Print_Area" localSheetId="4">'4.TL repayment sch'!$A$1:$G$95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62" l="1"/>
  <c r="F25" i="81"/>
  <c r="B7" i="81"/>
  <c r="B9" i="81"/>
  <c r="C23" i="81"/>
  <c r="D25" i="81"/>
  <c r="H25" i="81"/>
  <c r="B77" i="81"/>
  <c r="C65" i="81"/>
  <c r="C77" i="81"/>
  <c r="D65" i="81"/>
  <c r="D77" i="81"/>
  <c r="E65" i="81"/>
  <c r="E77" i="81"/>
  <c r="F65" i="81"/>
  <c r="F77" i="81"/>
  <c r="G65" i="81"/>
  <c r="G77" i="81"/>
  <c r="H65" i="81"/>
  <c r="H77" i="81"/>
  <c r="H23" i="72"/>
  <c r="C33" i="72"/>
  <c r="D33" i="72"/>
  <c r="E33" i="72"/>
  <c r="F33" i="72"/>
  <c r="G33" i="72"/>
  <c r="H33" i="72"/>
  <c r="H34" i="72"/>
  <c r="H47" i="72"/>
  <c r="E135" i="72"/>
  <c r="F135" i="72"/>
  <c r="G135" i="72"/>
  <c r="H135" i="72"/>
  <c r="I135" i="72"/>
  <c r="J135" i="72"/>
  <c r="J158" i="72"/>
  <c r="D15" i="81"/>
  <c r="F15" i="81"/>
  <c r="H15" i="81"/>
  <c r="B68" i="81"/>
  <c r="C68" i="81"/>
  <c r="D68" i="81"/>
  <c r="E68" i="81"/>
  <c r="F68" i="81"/>
  <c r="G68" i="81"/>
  <c r="H68" i="81"/>
  <c r="H14" i="72"/>
  <c r="H38" i="72"/>
  <c r="J159" i="72"/>
  <c r="D19" i="81"/>
  <c r="F19" i="81"/>
  <c r="H19" i="81"/>
  <c r="B72" i="81"/>
  <c r="C72" i="81"/>
  <c r="D72" i="81"/>
  <c r="E72" i="81"/>
  <c r="F72" i="81"/>
  <c r="G72" i="81"/>
  <c r="H72" i="81"/>
  <c r="H18" i="72"/>
  <c r="H42" i="72"/>
  <c r="J160" i="72"/>
  <c r="D17" i="81"/>
  <c r="F17" i="81"/>
  <c r="H17" i="81"/>
  <c r="B70" i="81"/>
  <c r="C70" i="81"/>
  <c r="D70" i="81"/>
  <c r="E70" i="81"/>
  <c r="F70" i="81"/>
  <c r="G70" i="81"/>
  <c r="H70" i="81"/>
  <c r="H16" i="72"/>
  <c r="H40" i="72"/>
  <c r="J161" i="72"/>
  <c r="D24" i="81"/>
  <c r="F24" i="81"/>
  <c r="H24" i="81"/>
  <c r="B76" i="81"/>
  <c r="C76" i="81"/>
  <c r="D76" i="81"/>
  <c r="E76" i="81"/>
  <c r="F76" i="81"/>
  <c r="G76" i="81"/>
  <c r="H76" i="81"/>
  <c r="H27" i="72"/>
  <c r="J162" i="72"/>
  <c r="D27" i="81"/>
  <c r="F27" i="81"/>
  <c r="H27" i="81"/>
  <c r="B79" i="81"/>
  <c r="C79" i="81"/>
  <c r="D79" i="81"/>
  <c r="E79" i="81"/>
  <c r="F79" i="81"/>
  <c r="G79" i="81"/>
  <c r="H79" i="81"/>
  <c r="H25" i="72"/>
  <c r="H50" i="72"/>
  <c r="H73" i="72"/>
  <c r="J163" i="72"/>
  <c r="D14" i="81"/>
  <c r="F14" i="81"/>
  <c r="H14" i="81"/>
  <c r="B67" i="81"/>
  <c r="C67" i="81"/>
  <c r="D67" i="81"/>
  <c r="E67" i="81"/>
  <c r="F67" i="81"/>
  <c r="G67" i="81"/>
  <c r="H67" i="81"/>
  <c r="H13" i="72"/>
  <c r="D16" i="81"/>
  <c r="F16" i="81"/>
  <c r="H16" i="81"/>
  <c r="B69" i="81"/>
  <c r="C69" i="81"/>
  <c r="D69" i="81"/>
  <c r="E69" i="81"/>
  <c r="F69" i="81"/>
  <c r="G69" i="81"/>
  <c r="H69" i="81"/>
  <c r="H15" i="72"/>
  <c r="D18" i="81"/>
  <c r="F18" i="81"/>
  <c r="H18" i="81"/>
  <c r="B71" i="81"/>
  <c r="C71" i="81"/>
  <c r="D71" i="81"/>
  <c r="E71" i="81"/>
  <c r="F71" i="81"/>
  <c r="G71" i="81"/>
  <c r="H71" i="81"/>
  <c r="H17" i="72"/>
  <c r="D20" i="81"/>
  <c r="F20" i="81"/>
  <c r="H20" i="81"/>
  <c r="B73" i="81"/>
  <c r="C73" i="81"/>
  <c r="D73" i="81"/>
  <c r="E73" i="81"/>
  <c r="F73" i="81"/>
  <c r="G73" i="81"/>
  <c r="H73" i="81"/>
  <c r="H19" i="72"/>
  <c r="D21" i="81"/>
  <c r="F21" i="81"/>
  <c r="H21" i="81"/>
  <c r="B74" i="81"/>
  <c r="C74" i="81"/>
  <c r="D74" i="81"/>
  <c r="E74" i="81"/>
  <c r="F74" i="81"/>
  <c r="G74" i="81"/>
  <c r="H74" i="81"/>
  <c r="H20" i="72"/>
  <c r="D22" i="81"/>
  <c r="F22" i="81"/>
  <c r="H22" i="81"/>
  <c r="B75" i="81"/>
  <c r="C75" i="81"/>
  <c r="D75" i="81"/>
  <c r="E75" i="81"/>
  <c r="F75" i="81"/>
  <c r="G75" i="81"/>
  <c r="H75" i="81"/>
  <c r="H21" i="72"/>
  <c r="H22" i="72"/>
  <c r="D26" i="81"/>
  <c r="F26" i="81"/>
  <c r="H26" i="81"/>
  <c r="B78" i="81"/>
  <c r="C78" i="81"/>
  <c r="D78" i="81"/>
  <c r="E78" i="81"/>
  <c r="F78" i="81"/>
  <c r="G78" i="81"/>
  <c r="H78" i="81"/>
  <c r="H24" i="72"/>
  <c r="D28" i="81"/>
  <c r="F28" i="81"/>
  <c r="H28" i="81"/>
  <c r="B80" i="81"/>
  <c r="C80" i="81"/>
  <c r="D80" i="81"/>
  <c r="E80" i="81"/>
  <c r="F80" i="81"/>
  <c r="G80" i="81"/>
  <c r="H80" i="81"/>
  <c r="H26" i="72"/>
  <c r="D30" i="81"/>
  <c r="F30" i="81"/>
  <c r="H30" i="81"/>
  <c r="B82" i="81"/>
  <c r="C82" i="81"/>
  <c r="D82" i="81"/>
  <c r="E82" i="81"/>
  <c r="F82" i="81"/>
  <c r="G82" i="81"/>
  <c r="H82" i="81"/>
  <c r="H28" i="72"/>
  <c r="D31" i="81"/>
  <c r="F31" i="81"/>
  <c r="H31" i="81"/>
  <c r="B83" i="81"/>
  <c r="C83" i="81"/>
  <c r="D83" i="81"/>
  <c r="E83" i="81"/>
  <c r="F83" i="81"/>
  <c r="G83" i="81"/>
  <c r="H83" i="81"/>
  <c r="H29" i="72"/>
  <c r="C32" i="81"/>
  <c r="D33" i="81"/>
  <c r="F33" i="81"/>
  <c r="H33" i="81"/>
  <c r="B84" i="81"/>
  <c r="C84" i="81"/>
  <c r="D84" i="81"/>
  <c r="E84" i="81"/>
  <c r="F84" i="81"/>
  <c r="G84" i="81"/>
  <c r="H84" i="81"/>
  <c r="H30" i="72"/>
  <c r="D34" i="81"/>
  <c r="F34" i="81"/>
  <c r="H34" i="81"/>
  <c r="B85" i="81"/>
  <c r="C85" i="81"/>
  <c r="D85" i="81"/>
  <c r="E85" i="81"/>
  <c r="F85" i="81"/>
  <c r="G85" i="81"/>
  <c r="H85" i="81"/>
  <c r="H31" i="72"/>
  <c r="H32" i="72"/>
  <c r="J164" i="72"/>
  <c r="H12" i="72"/>
  <c r="J165" i="72"/>
  <c r="J166" i="72"/>
  <c r="H35" i="72"/>
  <c r="J167" i="72"/>
  <c r="H79" i="72"/>
  <c r="H70" i="72"/>
  <c r="H97" i="72"/>
  <c r="H64" i="72"/>
  <c r="J168" i="72"/>
  <c r="J169" i="72"/>
  <c r="G23" i="72"/>
  <c r="G34" i="72"/>
  <c r="G47" i="72"/>
  <c r="I158" i="72"/>
  <c r="G14" i="72"/>
  <c r="G38" i="72"/>
  <c r="I159" i="72"/>
  <c r="G18" i="72"/>
  <c r="G42" i="72"/>
  <c r="I160" i="72"/>
  <c r="G16" i="72"/>
  <c r="G40" i="72"/>
  <c r="I161" i="72"/>
  <c r="G27" i="72"/>
  <c r="I162" i="72"/>
  <c r="G25" i="72"/>
  <c r="G50" i="72"/>
  <c r="G73" i="72"/>
  <c r="I163" i="72"/>
  <c r="G13" i="72"/>
  <c r="G15" i="72"/>
  <c r="G17" i="72"/>
  <c r="G19" i="72"/>
  <c r="G20" i="72"/>
  <c r="G21" i="72"/>
  <c r="G22" i="72"/>
  <c r="G24" i="72"/>
  <c r="G26" i="72"/>
  <c r="G28" i="72"/>
  <c r="G29" i="72"/>
  <c r="G30" i="72"/>
  <c r="G31" i="72"/>
  <c r="G32" i="72"/>
  <c r="I164" i="72"/>
  <c r="G12" i="72"/>
  <c r="I165" i="72"/>
  <c r="I166" i="72"/>
  <c r="G35" i="72"/>
  <c r="I167" i="72"/>
  <c r="G79" i="72"/>
  <c r="G70" i="72"/>
  <c r="G97" i="72"/>
  <c r="G64" i="72"/>
  <c r="I168" i="72"/>
  <c r="J17" i="61"/>
  <c r="K8" i="61"/>
  <c r="J174" i="72"/>
  <c r="K17" i="61"/>
  <c r="J175" i="72"/>
  <c r="J177" i="72"/>
  <c r="H19" i="21"/>
  <c r="E17" i="42"/>
  <c r="F17" i="42"/>
  <c r="G17" i="42"/>
  <c r="H17" i="42"/>
  <c r="I17" i="42"/>
  <c r="J17" i="42"/>
  <c r="J27" i="42"/>
  <c r="J28" i="42"/>
  <c r="J29" i="42"/>
  <c r="J34" i="42"/>
  <c r="H20" i="21"/>
  <c r="J14" i="48"/>
  <c r="J15" i="48"/>
  <c r="J16" i="48"/>
  <c r="J17" i="48"/>
  <c r="C43" i="48"/>
  <c r="F23" i="48"/>
  <c r="G23" i="48"/>
  <c r="H23" i="48"/>
  <c r="I23" i="48"/>
  <c r="J23" i="48"/>
  <c r="K23" i="48"/>
  <c r="K43" i="48"/>
  <c r="M14" i="48"/>
  <c r="M15" i="48"/>
  <c r="M16" i="48"/>
  <c r="M17" i="48"/>
  <c r="C44" i="48"/>
  <c r="K44" i="48"/>
  <c r="K49" i="48"/>
  <c r="H21" i="21"/>
  <c r="I9" i="53"/>
  <c r="I62" i="53"/>
  <c r="E124" i="53"/>
  <c r="F124" i="53"/>
  <c r="G124" i="53"/>
  <c r="H124" i="53"/>
  <c r="I124" i="53"/>
  <c r="J124" i="53"/>
  <c r="J197" i="53"/>
  <c r="I10" i="53"/>
  <c r="I63" i="53"/>
  <c r="J198" i="53"/>
  <c r="I11" i="53"/>
  <c r="I64" i="53"/>
  <c r="J199" i="53"/>
  <c r="I12" i="53"/>
  <c r="I65" i="53"/>
  <c r="J200" i="53"/>
  <c r="I13" i="53"/>
  <c r="I66" i="53"/>
  <c r="J201" i="53"/>
  <c r="I14" i="53"/>
  <c r="I67" i="53"/>
  <c r="J202" i="53"/>
  <c r="I15" i="53"/>
  <c r="I68" i="53"/>
  <c r="J203" i="53"/>
  <c r="I16" i="53"/>
  <c r="I69" i="53"/>
  <c r="J204" i="53"/>
  <c r="J205" i="53"/>
  <c r="I18" i="53"/>
  <c r="I71" i="53"/>
  <c r="J206" i="53"/>
  <c r="I19" i="53"/>
  <c r="I72" i="53"/>
  <c r="J207" i="53"/>
  <c r="I20" i="53"/>
  <c r="I73" i="53"/>
  <c r="J208" i="53"/>
  <c r="I21" i="53"/>
  <c r="I74" i="53"/>
  <c r="J209" i="53"/>
  <c r="I22" i="53"/>
  <c r="I75" i="53"/>
  <c r="J210" i="53"/>
  <c r="I23" i="53"/>
  <c r="I76" i="53"/>
  <c r="J211" i="53"/>
  <c r="B107" i="81"/>
  <c r="C107" i="81"/>
  <c r="D107" i="81"/>
  <c r="E107" i="81"/>
  <c r="F107" i="81"/>
  <c r="G107" i="81"/>
  <c r="H107" i="81"/>
  <c r="I24" i="53"/>
  <c r="I77" i="53"/>
  <c r="J212" i="53"/>
  <c r="B108" i="81"/>
  <c r="C108" i="81"/>
  <c r="D108" i="81"/>
  <c r="E108" i="81"/>
  <c r="F108" i="81"/>
  <c r="G108" i="81"/>
  <c r="H108" i="81"/>
  <c r="I25" i="53"/>
  <c r="I78" i="53"/>
  <c r="J213" i="53"/>
  <c r="J214" i="53"/>
  <c r="B110" i="81"/>
  <c r="C110" i="81"/>
  <c r="D110" i="81"/>
  <c r="E110" i="81"/>
  <c r="F110" i="81"/>
  <c r="G110" i="81"/>
  <c r="H110" i="81"/>
  <c r="I27" i="53"/>
  <c r="I80" i="53"/>
  <c r="J215" i="53"/>
  <c r="B111" i="81"/>
  <c r="C111" i="81"/>
  <c r="D111" i="81"/>
  <c r="E111" i="81"/>
  <c r="F111" i="81"/>
  <c r="G111" i="81"/>
  <c r="H111" i="81"/>
  <c r="I28" i="53"/>
  <c r="I81" i="53"/>
  <c r="J216" i="53"/>
  <c r="D36" i="81"/>
  <c r="B112" i="81"/>
  <c r="C112" i="81"/>
  <c r="D112" i="81"/>
  <c r="E112" i="81"/>
  <c r="F112" i="81"/>
  <c r="G112" i="81"/>
  <c r="H112" i="81"/>
  <c r="I29" i="53"/>
  <c r="I82" i="53"/>
  <c r="J217" i="53"/>
  <c r="B113" i="81"/>
  <c r="C113" i="81"/>
  <c r="D113" i="81"/>
  <c r="E113" i="81"/>
  <c r="F113" i="81"/>
  <c r="G113" i="81"/>
  <c r="H113" i="81"/>
  <c r="I30" i="53"/>
  <c r="I83" i="53"/>
  <c r="J218" i="53"/>
  <c r="I31" i="53"/>
  <c r="I84" i="53"/>
  <c r="J219" i="53"/>
  <c r="B7" i="83"/>
  <c r="B9" i="83"/>
  <c r="D14" i="83"/>
  <c r="B102" i="83"/>
  <c r="C100" i="83"/>
  <c r="C102" i="83"/>
  <c r="D100" i="83"/>
  <c r="D102" i="83"/>
  <c r="E100" i="83"/>
  <c r="E102" i="83"/>
  <c r="F100" i="83"/>
  <c r="F102" i="83"/>
  <c r="G100" i="83"/>
  <c r="G102" i="83"/>
  <c r="H100" i="83"/>
  <c r="H102" i="83"/>
  <c r="I33" i="53"/>
  <c r="I86" i="53"/>
  <c r="J221" i="53"/>
  <c r="D15" i="83"/>
  <c r="B103" i="83"/>
  <c r="C103" i="83"/>
  <c r="D103" i="83"/>
  <c r="E103" i="83"/>
  <c r="F103" i="83"/>
  <c r="G103" i="83"/>
  <c r="H103" i="83"/>
  <c r="I34" i="53"/>
  <c r="I87" i="53"/>
  <c r="J222" i="53"/>
  <c r="D16" i="83"/>
  <c r="B104" i="83"/>
  <c r="C104" i="83"/>
  <c r="D104" i="83"/>
  <c r="E104" i="83"/>
  <c r="F104" i="83"/>
  <c r="G104" i="83"/>
  <c r="H104" i="83"/>
  <c r="I35" i="53"/>
  <c r="I88" i="53"/>
  <c r="J223" i="53"/>
  <c r="D17" i="83"/>
  <c r="B105" i="83"/>
  <c r="C105" i="83"/>
  <c r="D105" i="83"/>
  <c r="E105" i="83"/>
  <c r="F105" i="83"/>
  <c r="G105" i="83"/>
  <c r="H105" i="83"/>
  <c r="I36" i="53"/>
  <c r="I89" i="53"/>
  <c r="J224" i="53"/>
  <c r="D18" i="83"/>
  <c r="B106" i="83"/>
  <c r="C106" i="83"/>
  <c r="D106" i="83"/>
  <c r="E106" i="83"/>
  <c r="F106" i="83"/>
  <c r="G106" i="83"/>
  <c r="H106" i="83"/>
  <c r="I37" i="53"/>
  <c r="I90" i="53"/>
  <c r="J225" i="53"/>
  <c r="D19" i="83"/>
  <c r="B107" i="83"/>
  <c r="C107" i="83"/>
  <c r="D107" i="83"/>
  <c r="E107" i="83"/>
  <c r="F107" i="83"/>
  <c r="G107" i="83"/>
  <c r="H107" i="83"/>
  <c r="I38" i="53"/>
  <c r="I91" i="53"/>
  <c r="J226" i="53"/>
  <c r="D20" i="83"/>
  <c r="B108" i="83"/>
  <c r="C108" i="83"/>
  <c r="D108" i="83"/>
  <c r="E108" i="83"/>
  <c r="F108" i="83"/>
  <c r="G108" i="83"/>
  <c r="H108" i="83"/>
  <c r="I39" i="53"/>
  <c r="I92" i="53"/>
  <c r="J227" i="53"/>
  <c r="D21" i="83"/>
  <c r="B109" i="83"/>
  <c r="C109" i="83"/>
  <c r="D109" i="83"/>
  <c r="E109" i="83"/>
  <c r="F109" i="83"/>
  <c r="G109" i="83"/>
  <c r="H109" i="83"/>
  <c r="I40" i="53"/>
  <c r="I93" i="53"/>
  <c r="J228" i="53"/>
  <c r="D22" i="83"/>
  <c r="B110" i="83"/>
  <c r="C110" i="83"/>
  <c r="D110" i="83"/>
  <c r="E110" i="83"/>
  <c r="F110" i="83"/>
  <c r="G110" i="83"/>
  <c r="H110" i="83"/>
  <c r="I41" i="53"/>
  <c r="I94" i="53"/>
  <c r="J229" i="53"/>
  <c r="C23" i="83"/>
  <c r="D24" i="83"/>
  <c r="B111" i="83"/>
  <c r="C111" i="83"/>
  <c r="D111" i="83"/>
  <c r="E111" i="83"/>
  <c r="F111" i="83"/>
  <c r="G111" i="83"/>
  <c r="H111" i="83"/>
  <c r="I42" i="53"/>
  <c r="I95" i="53"/>
  <c r="J230" i="53"/>
  <c r="D25" i="83"/>
  <c r="B112" i="83"/>
  <c r="C112" i="83"/>
  <c r="D112" i="83"/>
  <c r="E112" i="83"/>
  <c r="F112" i="83"/>
  <c r="G112" i="83"/>
  <c r="H112" i="83"/>
  <c r="I43" i="53"/>
  <c r="I96" i="53"/>
  <c r="J231" i="53"/>
  <c r="D26" i="83"/>
  <c r="B113" i="83"/>
  <c r="C113" i="83"/>
  <c r="D113" i="83"/>
  <c r="E113" i="83"/>
  <c r="F113" i="83"/>
  <c r="G113" i="83"/>
  <c r="H113" i="83"/>
  <c r="I44" i="53"/>
  <c r="I97" i="53"/>
  <c r="J232" i="53"/>
  <c r="D27" i="83"/>
  <c r="B114" i="83"/>
  <c r="C114" i="83"/>
  <c r="D114" i="83"/>
  <c r="E114" i="83"/>
  <c r="F114" i="83"/>
  <c r="G114" i="83"/>
  <c r="H114" i="83"/>
  <c r="I45" i="53"/>
  <c r="I98" i="53"/>
  <c r="J233" i="53"/>
  <c r="D28" i="83"/>
  <c r="B115" i="83"/>
  <c r="C115" i="83"/>
  <c r="D115" i="83"/>
  <c r="E115" i="83"/>
  <c r="F115" i="83"/>
  <c r="G115" i="83"/>
  <c r="H115" i="83"/>
  <c r="I46" i="53"/>
  <c r="I99" i="53"/>
  <c r="J234" i="53"/>
  <c r="D29" i="83"/>
  <c r="B116" i="83"/>
  <c r="C116" i="83"/>
  <c r="D116" i="83"/>
  <c r="E116" i="83"/>
  <c r="F116" i="83"/>
  <c r="G116" i="83"/>
  <c r="H116" i="83"/>
  <c r="I47" i="53"/>
  <c r="I100" i="53"/>
  <c r="J235" i="53"/>
  <c r="D30" i="83"/>
  <c r="B117" i="83"/>
  <c r="C117" i="83"/>
  <c r="D117" i="83"/>
  <c r="E117" i="83"/>
  <c r="F117" i="83"/>
  <c r="G117" i="83"/>
  <c r="H117" i="83"/>
  <c r="I48" i="53"/>
  <c r="I101" i="53"/>
  <c r="J236" i="53"/>
  <c r="D31" i="83"/>
  <c r="B118" i="83"/>
  <c r="C118" i="83"/>
  <c r="D118" i="83"/>
  <c r="E118" i="83"/>
  <c r="F118" i="83"/>
  <c r="G118" i="83"/>
  <c r="H118" i="83"/>
  <c r="I49" i="53"/>
  <c r="I102" i="53"/>
  <c r="J237" i="53"/>
  <c r="C32" i="83"/>
  <c r="D33" i="83"/>
  <c r="B119" i="83"/>
  <c r="C119" i="83"/>
  <c r="D119" i="83"/>
  <c r="E119" i="83"/>
  <c r="F119" i="83"/>
  <c r="G119" i="83"/>
  <c r="H119" i="83"/>
  <c r="I50" i="53"/>
  <c r="I103" i="53"/>
  <c r="J238" i="53"/>
  <c r="D37" i="83"/>
  <c r="B123" i="83"/>
  <c r="C123" i="83"/>
  <c r="D123" i="83"/>
  <c r="E123" i="83"/>
  <c r="F123" i="83"/>
  <c r="G123" i="83"/>
  <c r="H123" i="83"/>
  <c r="I54" i="53"/>
  <c r="I107" i="53"/>
  <c r="J239" i="53"/>
  <c r="D38" i="83"/>
  <c r="B124" i="83"/>
  <c r="C124" i="83"/>
  <c r="D124" i="83"/>
  <c r="E124" i="83"/>
  <c r="F124" i="83"/>
  <c r="G124" i="83"/>
  <c r="H124" i="83"/>
  <c r="I55" i="53"/>
  <c r="I108" i="53"/>
  <c r="J240" i="53"/>
  <c r="D39" i="83"/>
  <c r="B125" i="83"/>
  <c r="C125" i="83"/>
  <c r="D125" i="83"/>
  <c r="E125" i="83"/>
  <c r="F125" i="83"/>
  <c r="G125" i="83"/>
  <c r="H125" i="83"/>
  <c r="I56" i="53"/>
  <c r="I109" i="53"/>
  <c r="J241" i="53"/>
  <c r="D40" i="83"/>
  <c r="B126" i="83"/>
  <c r="C126" i="83"/>
  <c r="D126" i="83"/>
  <c r="E126" i="83"/>
  <c r="F126" i="83"/>
  <c r="G126" i="83"/>
  <c r="H126" i="83"/>
  <c r="I57" i="53"/>
  <c r="I110" i="53"/>
  <c r="J242" i="53"/>
  <c r="J243" i="53"/>
  <c r="D34" i="83"/>
  <c r="B120" i="83"/>
  <c r="C120" i="83"/>
  <c r="D120" i="83"/>
  <c r="E120" i="83"/>
  <c r="F120" i="83"/>
  <c r="G120" i="83"/>
  <c r="H120" i="83"/>
  <c r="I51" i="53"/>
  <c r="I104" i="53"/>
  <c r="D35" i="83"/>
  <c r="B121" i="83"/>
  <c r="C121" i="83"/>
  <c r="D121" i="83"/>
  <c r="E121" i="83"/>
  <c r="F121" i="83"/>
  <c r="G121" i="83"/>
  <c r="H121" i="83"/>
  <c r="I52" i="53"/>
  <c r="I105" i="53"/>
  <c r="D36" i="83"/>
  <c r="B122" i="83"/>
  <c r="C122" i="83"/>
  <c r="D122" i="83"/>
  <c r="E122" i="83"/>
  <c r="F122" i="83"/>
  <c r="G122" i="83"/>
  <c r="H122" i="83"/>
  <c r="I53" i="53"/>
  <c r="I106" i="53"/>
  <c r="I114" i="53"/>
  <c r="J245" i="53"/>
  <c r="I115" i="53"/>
  <c r="J246" i="53"/>
  <c r="I116" i="53"/>
  <c r="J247" i="53"/>
  <c r="I118" i="53"/>
  <c r="J250" i="53"/>
  <c r="I119" i="53"/>
  <c r="J251" i="53"/>
  <c r="J253" i="53"/>
  <c r="J254" i="53"/>
  <c r="H9" i="53"/>
  <c r="H62" i="53"/>
  <c r="I197" i="53"/>
  <c r="H10" i="53"/>
  <c r="H63" i="53"/>
  <c r="I198" i="53"/>
  <c r="H11" i="53"/>
  <c r="H64" i="53"/>
  <c r="I199" i="53"/>
  <c r="H12" i="53"/>
  <c r="H65" i="53"/>
  <c r="I200" i="53"/>
  <c r="H13" i="53"/>
  <c r="H66" i="53"/>
  <c r="I201" i="53"/>
  <c r="H14" i="53"/>
  <c r="H67" i="53"/>
  <c r="I202" i="53"/>
  <c r="H15" i="53"/>
  <c r="H68" i="53"/>
  <c r="I203" i="53"/>
  <c r="H16" i="53"/>
  <c r="H69" i="53"/>
  <c r="I204" i="53"/>
  <c r="I205" i="53"/>
  <c r="H18" i="53"/>
  <c r="H71" i="53"/>
  <c r="I206" i="53"/>
  <c r="H19" i="53"/>
  <c r="H72" i="53"/>
  <c r="I207" i="53"/>
  <c r="H20" i="53"/>
  <c r="H73" i="53"/>
  <c r="I208" i="53"/>
  <c r="H21" i="53"/>
  <c r="H74" i="53"/>
  <c r="I209" i="53"/>
  <c r="H22" i="53"/>
  <c r="H75" i="53"/>
  <c r="I210" i="53"/>
  <c r="H23" i="53"/>
  <c r="H76" i="53"/>
  <c r="I211" i="53"/>
  <c r="H24" i="53"/>
  <c r="H77" i="53"/>
  <c r="I212" i="53"/>
  <c r="H25" i="53"/>
  <c r="H78" i="53"/>
  <c r="I213" i="53"/>
  <c r="I214" i="53"/>
  <c r="H27" i="53"/>
  <c r="H80" i="53"/>
  <c r="I215" i="53"/>
  <c r="H28" i="53"/>
  <c r="H81" i="53"/>
  <c r="I216" i="53"/>
  <c r="H29" i="53"/>
  <c r="H82" i="53"/>
  <c r="I217" i="53"/>
  <c r="H30" i="53"/>
  <c r="H83" i="53"/>
  <c r="I218" i="53"/>
  <c r="H31" i="53"/>
  <c r="H84" i="53"/>
  <c r="I219" i="53"/>
  <c r="H33" i="53"/>
  <c r="H86" i="53"/>
  <c r="I221" i="53"/>
  <c r="H34" i="53"/>
  <c r="H87" i="53"/>
  <c r="I222" i="53"/>
  <c r="H35" i="53"/>
  <c r="H88" i="53"/>
  <c r="I223" i="53"/>
  <c r="H36" i="53"/>
  <c r="H89" i="53"/>
  <c r="I224" i="53"/>
  <c r="H37" i="53"/>
  <c r="H90" i="53"/>
  <c r="I225" i="53"/>
  <c r="H38" i="53"/>
  <c r="H91" i="53"/>
  <c r="I226" i="53"/>
  <c r="H39" i="53"/>
  <c r="H92" i="53"/>
  <c r="I227" i="53"/>
  <c r="H40" i="53"/>
  <c r="H93" i="53"/>
  <c r="I228" i="53"/>
  <c r="H41" i="53"/>
  <c r="H94" i="53"/>
  <c r="I229" i="53"/>
  <c r="H42" i="53"/>
  <c r="H95" i="53"/>
  <c r="I230" i="53"/>
  <c r="H43" i="53"/>
  <c r="H96" i="53"/>
  <c r="I231" i="53"/>
  <c r="H44" i="53"/>
  <c r="H97" i="53"/>
  <c r="I232" i="53"/>
  <c r="H45" i="53"/>
  <c r="H98" i="53"/>
  <c r="I233" i="53"/>
  <c r="H46" i="53"/>
  <c r="H99" i="53"/>
  <c r="I234" i="53"/>
  <c r="H47" i="53"/>
  <c r="H100" i="53"/>
  <c r="I235" i="53"/>
  <c r="H48" i="53"/>
  <c r="H101" i="53"/>
  <c r="I236" i="53"/>
  <c r="H49" i="53"/>
  <c r="H102" i="53"/>
  <c r="I237" i="53"/>
  <c r="H50" i="53"/>
  <c r="H103" i="53"/>
  <c r="I238" i="53"/>
  <c r="H54" i="53"/>
  <c r="H107" i="53"/>
  <c r="I239" i="53"/>
  <c r="H55" i="53"/>
  <c r="H108" i="53"/>
  <c r="I240" i="53"/>
  <c r="H56" i="53"/>
  <c r="H109" i="53"/>
  <c r="I241" i="53"/>
  <c r="H57" i="53"/>
  <c r="H110" i="53"/>
  <c r="I242" i="53"/>
  <c r="I243" i="53"/>
  <c r="H51" i="53"/>
  <c r="H104" i="53"/>
  <c r="H52" i="53"/>
  <c r="H105" i="53"/>
  <c r="H53" i="53"/>
  <c r="H106" i="53"/>
  <c r="H114" i="53"/>
  <c r="I245" i="53"/>
  <c r="H115" i="53"/>
  <c r="I246" i="53"/>
  <c r="H116" i="53"/>
  <c r="I247" i="53"/>
  <c r="H118" i="53"/>
  <c r="I250" i="53"/>
  <c r="H119" i="53"/>
  <c r="I251" i="53"/>
  <c r="J15" i="61"/>
  <c r="K6" i="61"/>
  <c r="J259" i="53"/>
  <c r="K15" i="61"/>
  <c r="J260" i="53"/>
  <c r="J262" i="53"/>
  <c r="H22" i="21"/>
  <c r="F37" i="83"/>
  <c r="H37" i="83"/>
  <c r="B95" i="83"/>
  <c r="C72" i="83"/>
  <c r="C95" i="83"/>
  <c r="D72" i="83"/>
  <c r="D95" i="83"/>
  <c r="E72" i="83"/>
  <c r="E95" i="83"/>
  <c r="F72" i="83"/>
  <c r="F95" i="83"/>
  <c r="G72" i="83"/>
  <c r="G95" i="83"/>
  <c r="H72" i="83"/>
  <c r="H95" i="83"/>
  <c r="H34" i="84"/>
  <c r="B41" i="84"/>
  <c r="H62" i="84"/>
  <c r="E149" i="84"/>
  <c r="F149" i="84"/>
  <c r="G149" i="84"/>
  <c r="H149" i="84"/>
  <c r="I149" i="84"/>
  <c r="J149" i="84"/>
  <c r="J163" i="84"/>
  <c r="J164" i="84"/>
  <c r="K12" i="83"/>
  <c r="L12" i="83"/>
  <c r="M12" i="83"/>
  <c r="N12" i="83"/>
  <c r="N14" i="83"/>
  <c r="H74" i="83"/>
  <c r="H13" i="84"/>
  <c r="F15" i="83"/>
  <c r="H15" i="83"/>
  <c r="B75" i="83"/>
  <c r="C75" i="83"/>
  <c r="D75" i="83"/>
  <c r="E75" i="83"/>
  <c r="F75" i="83"/>
  <c r="G75" i="83"/>
  <c r="H75" i="83"/>
  <c r="H14" i="84"/>
  <c r="F16" i="83"/>
  <c r="H16" i="83"/>
  <c r="B76" i="83"/>
  <c r="C76" i="83"/>
  <c r="D76" i="83"/>
  <c r="E76" i="83"/>
  <c r="F76" i="83"/>
  <c r="G76" i="83"/>
  <c r="H76" i="83"/>
  <c r="H15" i="84"/>
  <c r="F17" i="83"/>
  <c r="H17" i="83"/>
  <c r="B77" i="83"/>
  <c r="C77" i="83"/>
  <c r="D77" i="83"/>
  <c r="E77" i="83"/>
  <c r="F77" i="83"/>
  <c r="G77" i="83"/>
  <c r="H77" i="83"/>
  <c r="H16" i="84"/>
  <c r="F18" i="83"/>
  <c r="H18" i="83"/>
  <c r="B78" i="83"/>
  <c r="C78" i="83"/>
  <c r="D78" i="83"/>
  <c r="E78" i="83"/>
  <c r="F78" i="83"/>
  <c r="G78" i="83"/>
  <c r="H78" i="83"/>
  <c r="H17" i="84"/>
  <c r="F19" i="83"/>
  <c r="H19" i="83"/>
  <c r="B79" i="83"/>
  <c r="C79" i="83"/>
  <c r="D79" i="83"/>
  <c r="E79" i="83"/>
  <c r="F79" i="83"/>
  <c r="G79" i="83"/>
  <c r="H79" i="83"/>
  <c r="H18" i="84"/>
  <c r="F20" i="83"/>
  <c r="H20" i="83"/>
  <c r="B80" i="83"/>
  <c r="C80" i="83"/>
  <c r="D80" i="83"/>
  <c r="E80" i="83"/>
  <c r="F80" i="83"/>
  <c r="G80" i="83"/>
  <c r="H80" i="83"/>
  <c r="H19" i="84"/>
  <c r="F21" i="83"/>
  <c r="H21" i="83"/>
  <c r="B81" i="83"/>
  <c r="C81" i="83"/>
  <c r="D81" i="83"/>
  <c r="E81" i="83"/>
  <c r="F81" i="83"/>
  <c r="G81" i="83"/>
  <c r="H81" i="83"/>
  <c r="H20" i="84"/>
  <c r="F22" i="83"/>
  <c r="H22" i="83"/>
  <c r="B82" i="83"/>
  <c r="C82" i="83"/>
  <c r="D82" i="83"/>
  <c r="E82" i="83"/>
  <c r="F82" i="83"/>
  <c r="G82" i="83"/>
  <c r="H82" i="83"/>
  <c r="H21" i="84"/>
  <c r="F24" i="83"/>
  <c r="H24" i="83"/>
  <c r="B83" i="83"/>
  <c r="C83" i="83"/>
  <c r="D83" i="83"/>
  <c r="E83" i="83"/>
  <c r="F83" i="83"/>
  <c r="G83" i="83"/>
  <c r="H83" i="83"/>
  <c r="H22" i="84"/>
  <c r="F25" i="83"/>
  <c r="H25" i="83"/>
  <c r="B84" i="83"/>
  <c r="C84" i="83"/>
  <c r="D84" i="83"/>
  <c r="E84" i="83"/>
  <c r="F84" i="83"/>
  <c r="G84" i="83"/>
  <c r="H84" i="83"/>
  <c r="H23" i="84"/>
  <c r="F26" i="83"/>
  <c r="H26" i="83"/>
  <c r="B85" i="83"/>
  <c r="C85" i="83"/>
  <c r="D85" i="83"/>
  <c r="E85" i="83"/>
  <c r="F85" i="83"/>
  <c r="G85" i="83"/>
  <c r="H85" i="83"/>
  <c r="H24" i="84"/>
  <c r="F27" i="83"/>
  <c r="H27" i="83"/>
  <c r="B86" i="83"/>
  <c r="C86" i="83"/>
  <c r="D86" i="83"/>
  <c r="E86" i="83"/>
  <c r="F86" i="83"/>
  <c r="G86" i="83"/>
  <c r="H86" i="83"/>
  <c r="H25" i="84"/>
  <c r="F28" i="83"/>
  <c r="H28" i="83"/>
  <c r="B87" i="83"/>
  <c r="C87" i="83"/>
  <c r="D87" i="83"/>
  <c r="E87" i="83"/>
  <c r="F87" i="83"/>
  <c r="G87" i="83"/>
  <c r="H87" i="83"/>
  <c r="H26" i="84"/>
  <c r="F29" i="83"/>
  <c r="H29" i="83"/>
  <c r="B88" i="83"/>
  <c r="C88" i="83"/>
  <c r="D88" i="83"/>
  <c r="E88" i="83"/>
  <c r="F88" i="83"/>
  <c r="G88" i="83"/>
  <c r="H88" i="83"/>
  <c r="H27" i="84"/>
  <c r="F30" i="83"/>
  <c r="H30" i="83"/>
  <c r="B89" i="83"/>
  <c r="C89" i="83"/>
  <c r="D89" i="83"/>
  <c r="E89" i="83"/>
  <c r="F89" i="83"/>
  <c r="G89" i="83"/>
  <c r="H89" i="83"/>
  <c r="H28" i="84"/>
  <c r="F31" i="83"/>
  <c r="H31" i="83"/>
  <c r="B90" i="83"/>
  <c r="C90" i="83"/>
  <c r="D90" i="83"/>
  <c r="E90" i="83"/>
  <c r="F90" i="83"/>
  <c r="G90" i="83"/>
  <c r="H90" i="83"/>
  <c r="H29" i="84"/>
  <c r="F33" i="83"/>
  <c r="H33" i="83"/>
  <c r="B91" i="83"/>
  <c r="C91" i="83"/>
  <c r="D91" i="83"/>
  <c r="E91" i="83"/>
  <c r="F91" i="83"/>
  <c r="G91" i="83"/>
  <c r="H91" i="83"/>
  <c r="H30" i="84"/>
  <c r="H31" i="84"/>
  <c r="H32" i="84"/>
  <c r="H33" i="84"/>
  <c r="F38" i="83"/>
  <c r="H38" i="83"/>
  <c r="B96" i="83"/>
  <c r="C96" i="83"/>
  <c r="D96" i="83"/>
  <c r="E96" i="83"/>
  <c r="F96" i="83"/>
  <c r="G96" i="83"/>
  <c r="H96" i="83"/>
  <c r="H35" i="84"/>
  <c r="F39" i="83"/>
  <c r="H39" i="83"/>
  <c r="B97" i="83"/>
  <c r="C97" i="83"/>
  <c r="D97" i="83"/>
  <c r="E97" i="83"/>
  <c r="F97" i="83"/>
  <c r="G97" i="83"/>
  <c r="H97" i="83"/>
  <c r="H36" i="84"/>
  <c r="F40" i="83"/>
  <c r="H40" i="83"/>
  <c r="B98" i="83"/>
  <c r="C98" i="83"/>
  <c r="D98" i="83"/>
  <c r="E98" i="83"/>
  <c r="F98" i="83"/>
  <c r="G98" i="83"/>
  <c r="H98" i="83"/>
  <c r="H37" i="84"/>
  <c r="H39" i="84"/>
  <c r="H12" i="84"/>
  <c r="J165" i="84"/>
  <c r="H45" i="57"/>
  <c r="B166" i="84"/>
  <c r="J166" i="84"/>
  <c r="J167" i="84"/>
  <c r="H124" i="84"/>
  <c r="H141" i="84"/>
  <c r="H125" i="84"/>
  <c r="H142" i="84"/>
  <c r="H126" i="84"/>
  <c r="H143" i="84"/>
  <c r="J168" i="84"/>
  <c r="J169" i="84"/>
  <c r="J177" i="84"/>
  <c r="H23" i="21"/>
  <c r="H25" i="21"/>
  <c r="J19" i="21"/>
  <c r="J141" i="72"/>
  <c r="J142" i="72"/>
  <c r="J143" i="72"/>
  <c r="H71" i="72"/>
  <c r="G71" i="72"/>
  <c r="J144" i="72"/>
  <c r="H93" i="72"/>
  <c r="J146" i="72"/>
  <c r="H74" i="72"/>
  <c r="J147" i="72"/>
  <c r="H63" i="72"/>
  <c r="H65" i="72"/>
  <c r="H96" i="72"/>
  <c r="H98" i="72"/>
  <c r="H78" i="72"/>
  <c r="H80" i="72"/>
  <c r="H72" i="72"/>
  <c r="J150" i="72"/>
  <c r="J152" i="72"/>
  <c r="J154" i="72"/>
  <c r="H9" i="21"/>
  <c r="C9" i="42"/>
  <c r="D9" i="42"/>
  <c r="E9" i="42"/>
  <c r="F9" i="42"/>
  <c r="G9" i="42"/>
  <c r="H9" i="42"/>
  <c r="H10" i="42"/>
  <c r="J21" i="42"/>
  <c r="J23" i="42"/>
  <c r="H10" i="21"/>
  <c r="C28" i="48"/>
  <c r="D28" i="48"/>
  <c r="K28" i="48"/>
  <c r="C29" i="48"/>
  <c r="D29" i="48"/>
  <c r="K29" i="48"/>
  <c r="C30" i="48"/>
  <c r="D30" i="48"/>
  <c r="K30" i="48"/>
  <c r="C31" i="48"/>
  <c r="D31" i="48"/>
  <c r="K31" i="48"/>
  <c r="C32" i="48"/>
  <c r="D32" i="48"/>
  <c r="K32" i="48"/>
  <c r="C33" i="48"/>
  <c r="D33" i="48"/>
  <c r="K33" i="48"/>
  <c r="C34" i="48"/>
  <c r="D34" i="48"/>
  <c r="K34" i="48"/>
  <c r="C35" i="48"/>
  <c r="D35" i="48"/>
  <c r="K35" i="48"/>
  <c r="C36" i="48"/>
  <c r="D36" i="48"/>
  <c r="K36" i="48"/>
  <c r="C37" i="48"/>
  <c r="D37" i="48"/>
  <c r="K37" i="48"/>
  <c r="C38" i="48"/>
  <c r="D38" i="48"/>
  <c r="K38" i="48"/>
  <c r="K39" i="48"/>
  <c r="H11" i="21"/>
  <c r="J130" i="53"/>
  <c r="J131" i="53"/>
  <c r="J132" i="53"/>
  <c r="J133" i="53"/>
  <c r="J134" i="53"/>
  <c r="J135" i="53"/>
  <c r="J136" i="53"/>
  <c r="J137" i="53"/>
  <c r="J139" i="53"/>
  <c r="J140" i="53"/>
  <c r="J141" i="53"/>
  <c r="J142" i="53"/>
  <c r="J143" i="53"/>
  <c r="J144" i="53"/>
  <c r="J145" i="53"/>
  <c r="J146" i="53"/>
  <c r="J148" i="53"/>
  <c r="J149" i="53"/>
  <c r="J150" i="53"/>
  <c r="J151"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C182" i="53"/>
  <c r="J182" i="53"/>
  <c r="J183" i="53"/>
  <c r="J184" i="53"/>
  <c r="J187" i="53"/>
  <c r="J188" i="53"/>
  <c r="J191" i="53"/>
  <c r="H12" i="21"/>
  <c r="G34" i="84"/>
  <c r="G62" i="84"/>
  <c r="G124" i="84"/>
  <c r="G141" i="84"/>
  <c r="J154" i="84"/>
  <c r="G125" i="84"/>
  <c r="G142" i="84"/>
  <c r="J155" i="84"/>
  <c r="G126" i="84"/>
  <c r="G143" i="84"/>
  <c r="J156" i="84"/>
  <c r="J159" i="84"/>
  <c r="H13" i="21"/>
  <c r="H15" i="21"/>
  <c r="J15" i="21"/>
  <c r="D23" i="72"/>
  <c r="D34" i="72"/>
  <c r="D47" i="72"/>
  <c r="D97" i="72"/>
  <c r="C23" i="72"/>
  <c r="C34" i="72"/>
  <c r="C47" i="72"/>
  <c r="C97" i="72"/>
  <c r="F141" i="72"/>
  <c r="D14" i="72"/>
  <c r="D38" i="72"/>
  <c r="D64" i="72"/>
  <c r="C14" i="72"/>
  <c r="C38" i="72"/>
  <c r="C64" i="72"/>
  <c r="F142" i="72"/>
  <c r="D18" i="72"/>
  <c r="D42" i="72"/>
  <c r="D79" i="72"/>
  <c r="C18" i="72"/>
  <c r="C42" i="72"/>
  <c r="C79" i="72"/>
  <c r="F143" i="72"/>
  <c r="D16" i="72"/>
  <c r="D40" i="72"/>
  <c r="D71" i="72"/>
  <c r="C16" i="72"/>
  <c r="C40" i="72"/>
  <c r="C71" i="72"/>
  <c r="F144" i="72"/>
  <c r="D27" i="72"/>
  <c r="D93" i="72"/>
  <c r="F146" i="72"/>
  <c r="D25" i="72"/>
  <c r="D50" i="72"/>
  <c r="D73" i="72"/>
  <c r="D74" i="72"/>
  <c r="F147" i="72"/>
  <c r="D63" i="72"/>
  <c r="D65" i="72"/>
  <c r="D96" i="72"/>
  <c r="D98" i="72"/>
  <c r="D78" i="72"/>
  <c r="D80" i="72"/>
  <c r="D70" i="72"/>
  <c r="D72" i="72"/>
  <c r="F150" i="72"/>
  <c r="D13" i="72"/>
  <c r="D15" i="72"/>
  <c r="D17" i="72"/>
  <c r="D19" i="72"/>
  <c r="D20" i="72"/>
  <c r="D21" i="72"/>
  <c r="D22" i="72"/>
  <c r="D24" i="72"/>
  <c r="D26" i="72"/>
  <c r="D28" i="72"/>
  <c r="D29" i="72"/>
  <c r="D30" i="72"/>
  <c r="D31" i="72"/>
  <c r="D32" i="72"/>
  <c r="D35" i="72"/>
  <c r="F152" i="72"/>
  <c r="F154" i="72"/>
  <c r="D9" i="21"/>
  <c r="D10" i="42"/>
  <c r="F21" i="42"/>
  <c r="F23" i="42"/>
  <c r="D10" i="21"/>
  <c r="G28" i="48"/>
  <c r="G29" i="48"/>
  <c r="G30" i="48"/>
  <c r="G31" i="48"/>
  <c r="G32" i="48"/>
  <c r="G33" i="48"/>
  <c r="G34" i="48"/>
  <c r="G35" i="48"/>
  <c r="G36" i="48"/>
  <c r="G37" i="48"/>
  <c r="G38" i="48"/>
  <c r="G39" i="48"/>
  <c r="D11" i="21"/>
  <c r="E9" i="53"/>
  <c r="E62" i="53"/>
  <c r="F130" i="53"/>
  <c r="E10" i="53"/>
  <c r="E63" i="53"/>
  <c r="D10" i="53"/>
  <c r="D63" i="53"/>
  <c r="F131" i="53"/>
  <c r="E11" i="53"/>
  <c r="E64" i="53"/>
  <c r="D11" i="53"/>
  <c r="D64" i="53"/>
  <c r="F132" i="53"/>
  <c r="E12" i="53"/>
  <c r="E65" i="53"/>
  <c r="D12" i="53"/>
  <c r="D65" i="53"/>
  <c r="F133" i="53"/>
  <c r="E13" i="53"/>
  <c r="E66" i="53"/>
  <c r="D13" i="53"/>
  <c r="D66" i="53"/>
  <c r="F134" i="53"/>
  <c r="E14" i="53"/>
  <c r="E67" i="53"/>
  <c r="D14" i="53"/>
  <c r="D67" i="53"/>
  <c r="F135" i="53"/>
  <c r="E15" i="53"/>
  <c r="E68" i="53"/>
  <c r="D15" i="53"/>
  <c r="D68" i="53"/>
  <c r="F136" i="53"/>
  <c r="E16" i="53"/>
  <c r="E69" i="53"/>
  <c r="D16" i="53"/>
  <c r="D69" i="53"/>
  <c r="F137" i="53"/>
  <c r="E18" i="53"/>
  <c r="E71" i="53"/>
  <c r="D18" i="53"/>
  <c r="D71" i="53"/>
  <c r="F139" i="53"/>
  <c r="E19" i="53"/>
  <c r="E72" i="53"/>
  <c r="D19" i="53"/>
  <c r="D72" i="53"/>
  <c r="F140" i="53"/>
  <c r="E20" i="53"/>
  <c r="E73" i="53"/>
  <c r="D20" i="53"/>
  <c r="D73" i="53"/>
  <c r="F141" i="53"/>
  <c r="E21" i="53"/>
  <c r="E74" i="53"/>
  <c r="D21" i="53"/>
  <c r="D74" i="53"/>
  <c r="F142" i="53"/>
  <c r="E22" i="53"/>
  <c r="E75" i="53"/>
  <c r="D22" i="53"/>
  <c r="D75" i="53"/>
  <c r="F143" i="53"/>
  <c r="E23" i="53"/>
  <c r="E76" i="53"/>
  <c r="D23" i="53"/>
  <c r="D76" i="53"/>
  <c r="F144" i="53"/>
  <c r="E24" i="53"/>
  <c r="E77" i="53"/>
  <c r="D24" i="53"/>
  <c r="D77" i="53"/>
  <c r="F145" i="53"/>
  <c r="E25" i="53"/>
  <c r="E78" i="53"/>
  <c r="D25" i="53"/>
  <c r="D78" i="53"/>
  <c r="F146" i="53"/>
  <c r="E27" i="53"/>
  <c r="E80" i="53"/>
  <c r="D27" i="53"/>
  <c r="D80" i="53"/>
  <c r="F148" i="53"/>
  <c r="E28" i="53"/>
  <c r="E81" i="53"/>
  <c r="D28" i="53"/>
  <c r="D81" i="53"/>
  <c r="F149" i="53"/>
  <c r="E29" i="53"/>
  <c r="E82" i="53"/>
  <c r="D29" i="53"/>
  <c r="D82" i="53"/>
  <c r="F150" i="53"/>
  <c r="E30" i="53"/>
  <c r="E83" i="53"/>
  <c r="D30" i="53"/>
  <c r="D83" i="53"/>
  <c r="F151" i="53"/>
  <c r="E31" i="53"/>
  <c r="E84" i="53"/>
  <c r="D31" i="53"/>
  <c r="D84" i="53"/>
  <c r="F152" i="53"/>
  <c r="E33" i="53"/>
  <c r="E86" i="53"/>
  <c r="D33" i="53"/>
  <c r="D86" i="53"/>
  <c r="F154" i="53"/>
  <c r="E34" i="53"/>
  <c r="E87" i="53"/>
  <c r="D34" i="53"/>
  <c r="D87" i="53"/>
  <c r="F155" i="53"/>
  <c r="E35" i="53"/>
  <c r="E88" i="53"/>
  <c r="D35" i="53"/>
  <c r="D88" i="53"/>
  <c r="F156" i="53"/>
  <c r="E36" i="53"/>
  <c r="E89" i="53"/>
  <c r="D36" i="53"/>
  <c r="D89" i="53"/>
  <c r="F157" i="53"/>
  <c r="E37" i="53"/>
  <c r="E90" i="53"/>
  <c r="D37" i="53"/>
  <c r="D90" i="53"/>
  <c r="F158" i="53"/>
  <c r="E38" i="53"/>
  <c r="E91" i="53"/>
  <c r="D38" i="53"/>
  <c r="D91" i="53"/>
  <c r="F159" i="53"/>
  <c r="E39" i="53"/>
  <c r="E92" i="53"/>
  <c r="D39" i="53"/>
  <c r="D92" i="53"/>
  <c r="F160" i="53"/>
  <c r="E40" i="53"/>
  <c r="E93" i="53"/>
  <c r="D40" i="53"/>
  <c r="D93" i="53"/>
  <c r="F161" i="53"/>
  <c r="E41" i="53"/>
  <c r="E94" i="53"/>
  <c r="D41" i="53"/>
  <c r="D94" i="53"/>
  <c r="F162" i="53"/>
  <c r="E42" i="53"/>
  <c r="E95" i="53"/>
  <c r="D42" i="53"/>
  <c r="D95" i="53"/>
  <c r="F163" i="53"/>
  <c r="E43" i="53"/>
  <c r="E96" i="53"/>
  <c r="D43" i="53"/>
  <c r="D96" i="53"/>
  <c r="F164" i="53"/>
  <c r="E44" i="53"/>
  <c r="E97" i="53"/>
  <c r="D44" i="53"/>
  <c r="D97" i="53"/>
  <c r="F165" i="53"/>
  <c r="E45" i="53"/>
  <c r="E98" i="53"/>
  <c r="D45" i="53"/>
  <c r="D98" i="53"/>
  <c r="F166" i="53"/>
  <c r="E46" i="53"/>
  <c r="E99" i="53"/>
  <c r="D46" i="53"/>
  <c r="D99" i="53"/>
  <c r="F167" i="53"/>
  <c r="E47" i="53"/>
  <c r="E100" i="53"/>
  <c r="D47" i="53"/>
  <c r="D100" i="53"/>
  <c r="F168" i="53"/>
  <c r="E48" i="53"/>
  <c r="E101" i="53"/>
  <c r="D48" i="53"/>
  <c r="D101" i="53"/>
  <c r="F169" i="53"/>
  <c r="E49" i="53"/>
  <c r="E102" i="53"/>
  <c r="D49" i="53"/>
  <c r="D102" i="53"/>
  <c r="F170" i="53"/>
  <c r="E50" i="53"/>
  <c r="E103" i="53"/>
  <c r="D50" i="53"/>
  <c r="D103" i="53"/>
  <c r="F171" i="53"/>
  <c r="E51" i="53"/>
  <c r="E104" i="53"/>
  <c r="D51" i="53"/>
  <c r="D104" i="53"/>
  <c r="F172" i="53"/>
  <c r="E52" i="53"/>
  <c r="E105" i="53"/>
  <c r="D52" i="53"/>
  <c r="D105" i="53"/>
  <c r="F173" i="53"/>
  <c r="E53" i="53"/>
  <c r="E106" i="53"/>
  <c r="D53" i="53"/>
  <c r="D106" i="53"/>
  <c r="F174" i="53"/>
  <c r="E54" i="53"/>
  <c r="E107" i="53"/>
  <c r="D54" i="53"/>
  <c r="D107" i="53"/>
  <c r="F175" i="53"/>
  <c r="E55" i="53"/>
  <c r="E108" i="53"/>
  <c r="D55" i="53"/>
  <c r="D108" i="53"/>
  <c r="F176" i="53"/>
  <c r="E56" i="53"/>
  <c r="E109" i="53"/>
  <c r="D56" i="53"/>
  <c r="D109" i="53"/>
  <c r="F177" i="53"/>
  <c r="E57" i="53"/>
  <c r="E110" i="53"/>
  <c r="D57" i="53"/>
  <c r="D110" i="53"/>
  <c r="F178" i="53"/>
  <c r="E114" i="53"/>
  <c r="D9" i="53"/>
  <c r="D62" i="53"/>
  <c r="D114" i="53"/>
  <c r="F182" i="53"/>
  <c r="E115" i="53"/>
  <c r="D115" i="53"/>
  <c r="F183" i="53"/>
  <c r="E116" i="53"/>
  <c r="D116" i="53"/>
  <c r="F184" i="53"/>
  <c r="E118" i="53"/>
  <c r="D118" i="53"/>
  <c r="F187" i="53"/>
  <c r="E119" i="53"/>
  <c r="D119" i="53"/>
  <c r="F188" i="53"/>
  <c r="F191" i="53"/>
  <c r="D12" i="21"/>
  <c r="D34" i="84"/>
  <c r="D62" i="84"/>
  <c r="D124" i="84"/>
  <c r="D141" i="84"/>
  <c r="C34" i="84"/>
  <c r="C62" i="84"/>
  <c r="C124" i="84"/>
  <c r="C141" i="84"/>
  <c r="F154" i="84"/>
  <c r="D125" i="84"/>
  <c r="D142" i="84"/>
  <c r="C125" i="84"/>
  <c r="C142" i="84"/>
  <c r="F155" i="84"/>
  <c r="D126" i="84"/>
  <c r="D143" i="84"/>
  <c r="C126" i="84"/>
  <c r="C143" i="84"/>
  <c r="F156" i="84"/>
  <c r="F159" i="84"/>
  <c r="D13" i="21"/>
  <c r="D15" i="21"/>
  <c r="F158" i="72"/>
  <c r="F159" i="72"/>
  <c r="F160" i="72"/>
  <c r="F161" i="72"/>
  <c r="F162" i="72"/>
  <c r="F163" i="72"/>
  <c r="F164" i="72"/>
  <c r="D12" i="72"/>
  <c r="F165" i="72"/>
  <c r="F166" i="72"/>
  <c r="F167" i="72"/>
  <c r="F168" i="72"/>
  <c r="F169" i="72"/>
  <c r="E158" i="72"/>
  <c r="E159" i="72"/>
  <c r="E160" i="72"/>
  <c r="E161" i="72"/>
  <c r="C27" i="72"/>
  <c r="E162" i="72"/>
  <c r="C25" i="72"/>
  <c r="C50" i="72"/>
  <c r="C73" i="72"/>
  <c r="E163" i="72"/>
  <c r="C13" i="72"/>
  <c r="C15" i="72"/>
  <c r="C17" i="72"/>
  <c r="C19" i="72"/>
  <c r="C20" i="72"/>
  <c r="C21" i="72"/>
  <c r="C22" i="72"/>
  <c r="C24" i="72"/>
  <c r="C26" i="72"/>
  <c r="C28" i="72"/>
  <c r="C29" i="72"/>
  <c r="C30" i="72"/>
  <c r="C31" i="72"/>
  <c r="C32" i="72"/>
  <c r="E164" i="72"/>
  <c r="C12" i="72"/>
  <c r="E165" i="72"/>
  <c r="E166" i="72"/>
  <c r="C35" i="72"/>
  <c r="E167" i="72"/>
  <c r="C70" i="72"/>
  <c r="E168" i="72"/>
  <c r="F17" i="61"/>
  <c r="G8" i="61"/>
  <c r="F174" i="72"/>
  <c r="G17" i="61"/>
  <c r="F175" i="72"/>
  <c r="F177" i="72"/>
  <c r="D19" i="21"/>
  <c r="F27" i="42"/>
  <c r="F28" i="42"/>
  <c r="F29" i="42"/>
  <c r="F34" i="42"/>
  <c r="D20" i="21"/>
  <c r="G43" i="48"/>
  <c r="G44" i="48"/>
  <c r="G49" i="48"/>
  <c r="D21" i="21"/>
  <c r="F197" i="53"/>
  <c r="F198" i="53"/>
  <c r="F199" i="53"/>
  <c r="F200" i="53"/>
  <c r="F201" i="53"/>
  <c r="F202" i="53"/>
  <c r="F203" i="53"/>
  <c r="F204" i="53"/>
  <c r="F205" i="53"/>
  <c r="F206" i="53"/>
  <c r="F207" i="53"/>
  <c r="F208" i="53"/>
  <c r="F209" i="53"/>
  <c r="F210" i="53"/>
  <c r="F211" i="53"/>
  <c r="F212" i="53"/>
  <c r="F213" i="53"/>
  <c r="F214" i="53"/>
  <c r="F215" i="53"/>
  <c r="F216" i="53"/>
  <c r="F217" i="53"/>
  <c r="F218" i="53"/>
  <c r="F219" i="53"/>
  <c r="F221" i="53"/>
  <c r="F222" i="53"/>
  <c r="F223" i="53"/>
  <c r="F224" i="53"/>
  <c r="F225" i="53"/>
  <c r="F226" i="53"/>
  <c r="F227" i="53"/>
  <c r="F228" i="53"/>
  <c r="F229" i="53"/>
  <c r="F230" i="53"/>
  <c r="F231" i="53"/>
  <c r="F232" i="53"/>
  <c r="F233" i="53"/>
  <c r="F234" i="53"/>
  <c r="F235" i="53"/>
  <c r="F236" i="53"/>
  <c r="F237" i="53"/>
  <c r="F238" i="53"/>
  <c r="F239" i="53"/>
  <c r="F240" i="53"/>
  <c r="F241" i="53"/>
  <c r="F242" i="53"/>
  <c r="F243" i="53"/>
  <c r="F245" i="53"/>
  <c r="F246" i="53"/>
  <c r="F247" i="53"/>
  <c r="F250" i="53"/>
  <c r="F251" i="53"/>
  <c r="F253" i="53"/>
  <c r="F254" i="53"/>
  <c r="E197" i="53"/>
  <c r="E198" i="53"/>
  <c r="E199" i="53"/>
  <c r="E200" i="53"/>
  <c r="E201" i="53"/>
  <c r="E202" i="53"/>
  <c r="E203" i="53"/>
  <c r="E204" i="53"/>
  <c r="E205" i="53"/>
  <c r="E206" i="53"/>
  <c r="E207" i="53"/>
  <c r="E208" i="53"/>
  <c r="E209" i="53"/>
  <c r="E210" i="53"/>
  <c r="E211" i="53"/>
  <c r="E212" i="53"/>
  <c r="E213" i="53"/>
  <c r="E214" i="53"/>
  <c r="E215" i="53"/>
  <c r="E216" i="53"/>
  <c r="E217" i="53"/>
  <c r="E218" i="53"/>
  <c r="E219" i="53"/>
  <c r="E221" i="53"/>
  <c r="E222" i="53"/>
  <c r="E223" i="53"/>
  <c r="E224" i="53"/>
  <c r="E225" i="53"/>
  <c r="E226" i="53"/>
  <c r="E227" i="53"/>
  <c r="E228" i="53"/>
  <c r="E229" i="53"/>
  <c r="E230" i="53"/>
  <c r="E231" i="53"/>
  <c r="E232" i="53"/>
  <c r="E233" i="53"/>
  <c r="E234" i="53"/>
  <c r="E235" i="53"/>
  <c r="E236" i="53"/>
  <c r="E237" i="53"/>
  <c r="E238" i="53"/>
  <c r="E239" i="53"/>
  <c r="E240" i="53"/>
  <c r="E241" i="53"/>
  <c r="E242" i="53"/>
  <c r="E243" i="53"/>
  <c r="E245" i="53"/>
  <c r="E246" i="53"/>
  <c r="E247" i="53"/>
  <c r="E250" i="53"/>
  <c r="E251" i="53"/>
  <c r="F15" i="61"/>
  <c r="G6" i="61"/>
  <c r="F259" i="53"/>
  <c r="G15" i="61"/>
  <c r="F260" i="53"/>
  <c r="F262" i="53"/>
  <c r="D22" i="21"/>
  <c r="F163" i="84"/>
  <c r="F164" i="84"/>
  <c r="J14" i="83"/>
  <c r="D74" i="83"/>
  <c r="D13" i="84"/>
  <c r="D14" i="84"/>
  <c r="D15" i="84"/>
  <c r="D16" i="84"/>
  <c r="D17" i="84"/>
  <c r="D18" i="84"/>
  <c r="D19" i="84"/>
  <c r="D20" i="84"/>
  <c r="D21" i="84"/>
  <c r="D22" i="84"/>
  <c r="D23" i="84"/>
  <c r="D24" i="84"/>
  <c r="D25" i="84"/>
  <c r="D26" i="84"/>
  <c r="D27" i="84"/>
  <c r="D28" i="84"/>
  <c r="D29" i="84"/>
  <c r="D30" i="84"/>
  <c r="F34" i="83"/>
  <c r="H34" i="83"/>
  <c r="B92" i="83"/>
  <c r="C92" i="83"/>
  <c r="D92" i="83"/>
  <c r="D31" i="84"/>
  <c r="F35" i="83"/>
  <c r="H35" i="83"/>
  <c r="B93" i="83"/>
  <c r="C93" i="83"/>
  <c r="D93" i="83"/>
  <c r="D32" i="84"/>
  <c r="F36" i="83"/>
  <c r="H36" i="83"/>
  <c r="B94" i="83"/>
  <c r="C94" i="83"/>
  <c r="D94" i="83"/>
  <c r="D33" i="84"/>
  <c r="D35" i="84"/>
  <c r="D36" i="84"/>
  <c r="D37" i="84"/>
  <c r="D39" i="84"/>
  <c r="D12" i="84"/>
  <c r="F165" i="84"/>
  <c r="F166" i="84"/>
  <c r="F167" i="84"/>
  <c r="F168" i="84"/>
  <c r="F169" i="84"/>
  <c r="F177" i="84"/>
  <c r="D23" i="21"/>
  <c r="D25" i="21"/>
  <c r="D28" i="21"/>
  <c r="F180" i="72"/>
  <c r="F185" i="72"/>
  <c r="D29" i="21"/>
  <c r="F37" i="42"/>
  <c r="F43" i="42"/>
  <c r="D30" i="21"/>
  <c r="G52" i="48"/>
  <c r="G56" i="48"/>
  <c r="D31" i="21"/>
  <c r="F265" i="53"/>
  <c r="F266" i="53"/>
  <c r="F267" i="53"/>
  <c r="F268" i="53"/>
  <c r="F273" i="53"/>
  <c r="D32" i="21"/>
  <c r="F180" i="84"/>
  <c r="F181" i="84"/>
  <c r="F185" i="84"/>
  <c r="D33" i="21"/>
  <c r="F4" i="22"/>
  <c r="G4" i="22"/>
  <c r="G8" i="22"/>
  <c r="G9" i="22"/>
  <c r="G10" i="22"/>
  <c r="G11" i="22"/>
  <c r="G12" i="22"/>
  <c r="G13" i="22"/>
  <c r="G14" i="22"/>
  <c r="G15" i="22"/>
  <c r="G16" i="22"/>
  <c r="G17" i="22"/>
  <c r="G18" i="22"/>
  <c r="G19" i="22"/>
  <c r="G20" i="22"/>
  <c r="G21" i="22"/>
  <c r="G22" i="22"/>
  <c r="G23" i="22"/>
  <c r="D35" i="21"/>
  <c r="D36" i="21"/>
  <c r="D38" i="21"/>
  <c r="D40" i="21"/>
  <c r="F57" i="57"/>
  <c r="F58" i="57"/>
  <c r="F59" i="57"/>
  <c r="F60" i="57"/>
  <c r="F61" i="57"/>
  <c r="F62" i="57"/>
  <c r="D7" i="62"/>
  <c r="C49" i="22"/>
  <c r="E50" i="22"/>
  <c r="G20" i="57"/>
  <c r="G26" i="57"/>
  <c r="G33" i="57"/>
  <c r="G35" i="57"/>
  <c r="G36" i="57"/>
  <c r="G37" i="57"/>
  <c r="G38" i="57"/>
  <c r="G39" i="57"/>
  <c r="G47" i="57"/>
  <c r="D6" i="62"/>
  <c r="C43" i="22"/>
  <c r="E44" i="22"/>
  <c r="F6" i="57"/>
  <c r="G6" i="57"/>
  <c r="G8" i="57"/>
  <c r="G9" i="57"/>
  <c r="G10" i="57"/>
  <c r="G11" i="57"/>
  <c r="D5" i="62"/>
  <c r="C37" i="22"/>
  <c r="E38" i="22"/>
  <c r="F84" i="57"/>
  <c r="F85" i="57"/>
  <c r="F86" i="57"/>
  <c r="F87" i="57"/>
  <c r="D9" i="62"/>
  <c r="C55" i="22"/>
  <c r="E56" i="22"/>
  <c r="F71" i="57"/>
  <c r="F72" i="57"/>
  <c r="F73" i="57"/>
  <c r="F74" i="57"/>
  <c r="F75" i="57"/>
  <c r="F76" i="57"/>
  <c r="D8" i="62"/>
  <c r="C61" i="22"/>
  <c r="E62" i="22"/>
  <c r="E66" i="22"/>
  <c r="D42" i="21"/>
  <c r="D99" i="57"/>
  <c r="D10" i="62"/>
  <c r="E86" i="22"/>
  <c r="D43" i="21"/>
  <c r="D45" i="21"/>
  <c r="E20"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8"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D34" i="23"/>
  <c r="F34" i="23"/>
  <c r="E34" i="23"/>
  <c r="G34" i="23"/>
  <c r="C35" i="23"/>
  <c r="D35" i="23"/>
  <c r="F35" i="23"/>
  <c r="E35" i="23"/>
  <c r="G35" i="23"/>
  <c r="C36" i="23"/>
  <c r="D36" i="23"/>
  <c r="F36" i="23"/>
  <c r="E36" i="23"/>
  <c r="G36" i="23"/>
  <c r="C37" i="23"/>
  <c r="D37" i="23"/>
  <c r="F37" i="23"/>
  <c r="E37" i="23"/>
  <c r="G37" i="23"/>
  <c r="C38" i="23"/>
  <c r="D38" i="23"/>
  <c r="F38" i="23"/>
  <c r="E38" i="23"/>
  <c r="G38" i="23"/>
  <c r="C39" i="23"/>
  <c r="D39" i="23"/>
  <c r="F39" i="23"/>
  <c r="E39" i="23"/>
  <c r="G39" i="23"/>
  <c r="C40" i="23"/>
  <c r="D40" i="23"/>
  <c r="F40" i="23"/>
  <c r="E40" i="23"/>
  <c r="G40" i="23"/>
  <c r="C41" i="23"/>
  <c r="D41" i="23"/>
  <c r="F41" i="23"/>
  <c r="E41" i="23"/>
  <c r="G41" i="23"/>
  <c r="C42" i="23"/>
  <c r="D42" i="23"/>
  <c r="F42" i="23"/>
  <c r="E42" i="23"/>
  <c r="G42" i="23"/>
  <c r="C43" i="23"/>
  <c r="D43" i="23"/>
  <c r="F43" i="23"/>
  <c r="E43" i="23"/>
  <c r="G43" i="23"/>
  <c r="C44" i="23"/>
  <c r="D44" i="23"/>
  <c r="F44" i="23"/>
  <c r="E44" i="23"/>
  <c r="G44" i="23"/>
  <c r="C45" i="23"/>
  <c r="D45" i="23"/>
  <c r="E26" i="68"/>
  <c r="G34" i="61"/>
  <c r="G35" i="61"/>
  <c r="G36" i="61"/>
  <c r="G37" i="61"/>
  <c r="G38" i="61"/>
  <c r="G39" i="61"/>
  <c r="G41" i="61"/>
  <c r="G16" i="61"/>
  <c r="G18" i="61"/>
  <c r="G21" i="61"/>
  <c r="G42" i="61"/>
  <c r="G44" i="61"/>
  <c r="G47" i="61"/>
  <c r="G48" i="61"/>
  <c r="G49" i="61"/>
  <c r="G50" i="61"/>
  <c r="G51" i="61"/>
  <c r="G52" i="61"/>
  <c r="G54" i="61"/>
  <c r="G55" i="61"/>
  <c r="E11" i="68"/>
  <c r="E27" i="68"/>
  <c r="E28" i="68"/>
  <c r="D47" i="21"/>
  <c r="D49" i="21"/>
  <c r="D95" i="22"/>
  <c r="D96" i="22"/>
  <c r="K49" i="22"/>
  <c r="K50" i="22"/>
  <c r="K52" i="22"/>
  <c r="L49" i="22"/>
  <c r="L50" i="22"/>
  <c r="L52" i="22"/>
  <c r="M49" i="22"/>
  <c r="M50" i="22"/>
  <c r="K43" i="22"/>
  <c r="K44" i="22"/>
  <c r="K46" i="22"/>
  <c r="L43" i="22"/>
  <c r="L44" i="22"/>
  <c r="L46" i="22"/>
  <c r="M43" i="22"/>
  <c r="M44" i="22"/>
  <c r="K37" i="22"/>
  <c r="K38" i="22"/>
  <c r="K40" i="22"/>
  <c r="L37" i="22"/>
  <c r="L38" i="22"/>
  <c r="L40" i="22"/>
  <c r="M37" i="22"/>
  <c r="M38" i="22"/>
  <c r="K55" i="22"/>
  <c r="K56" i="22"/>
  <c r="K58" i="22"/>
  <c r="L55" i="22"/>
  <c r="L56" i="22"/>
  <c r="L58" i="22"/>
  <c r="M55" i="22"/>
  <c r="M56" i="22"/>
  <c r="K61" i="22"/>
  <c r="K62" i="22"/>
  <c r="K64" i="22"/>
  <c r="L61" i="22"/>
  <c r="L62" i="22"/>
  <c r="L64" i="22"/>
  <c r="M61" i="22"/>
  <c r="M62" i="22"/>
  <c r="M66" i="22"/>
  <c r="D97" i="22"/>
  <c r="D98" i="22"/>
  <c r="D99" i="22"/>
  <c r="D50" i="21"/>
  <c r="D51" i="21"/>
  <c r="E80" i="29"/>
  <c r="E23" i="72"/>
  <c r="E34" i="72"/>
  <c r="E47" i="72"/>
  <c r="E97" i="72"/>
  <c r="G141" i="72"/>
  <c r="E14" i="72"/>
  <c r="E38" i="72"/>
  <c r="E64" i="72"/>
  <c r="G142" i="72"/>
  <c r="E18" i="72"/>
  <c r="E42" i="72"/>
  <c r="E79" i="72"/>
  <c r="G143" i="72"/>
  <c r="E16" i="72"/>
  <c r="E40" i="72"/>
  <c r="E71" i="72"/>
  <c r="G144" i="72"/>
  <c r="E27" i="72"/>
  <c r="E93" i="72"/>
  <c r="G146" i="72"/>
  <c r="E25" i="72"/>
  <c r="E50" i="72"/>
  <c r="E73" i="72"/>
  <c r="E74" i="72"/>
  <c r="G147" i="72"/>
  <c r="E63" i="72"/>
  <c r="E65" i="72"/>
  <c r="E96" i="72"/>
  <c r="E98" i="72"/>
  <c r="E78" i="72"/>
  <c r="E80" i="72"/>
  <c r="E70" i="72"/>
  <c r="E72" i="72"/>
  <c r="G150" i="72"/>
  <c r="E13" i="72"/>
  <c r="E15" i="72"/>
  <c r="E17" i="72"/>
  <c r="E19" i="72"/>
  <c r="E20" i="72"/>
  <c r="E21" i="72"/>
  <c r="E22" i="72"/>
  <c r="E24" i="72"/>
  <c r="E26" i="72"/>
  <c r="E28" i="72"/>
  <c r="E29" i="72"/>
  <c r="E30" i="72"/>
  <c r="E31" i="72"/>
  <c r="E32" i="72"/>
  <c r="E35" i="72"/>
  <c r="G152" i="72"/>
  <c r="G154" i="72"/>
  <c r="E9" i="21"/>
  <c r="E10" i="42"/>
  <c r="G21" i="42"/>
  <c r="G23" i="42"/>
  <c r="E10" i="21"/>
  <c r="H28" i="48"/>
  <c r="H29" i="48"/>
  <c r="H30" i="48"/>
  <c r="H31" i="48"/>
  <c r="H32" i="48"/>
  <c r="H33" i="48"/>
  <c r="H34" i="48"/>
  <c r="H35" i="48"/>
  <c r="H36" i="48"/>
  <c r="H37" i="48"/>
  <c r="H38" i="48"/>
  <c r="H39" i="48"/>
  <c r="E11" i="21"/>
  <c r="F9" i="53"/>
  <c r="F62" i="53"/>
  <c r="G130" i="53"/>
  <c r="F10" i="53"/>
  <c r="F63" i="53"/>
  <c r="G131" i="53"/>
  <c r="F11" i="53"/>
  <c r="F64" i="53"/>
  <c r="G132" i="53"/>
  <c r="F12" i="53"/>
  <c r="F65" i="53"/>
  <c r="G133" i="53"/>
  <c r="F13" i="53"/>
  <c r="F66" i="53"/>
  <c r="G134" i="53"/>
  <c r="F14" i="53"/>
  <c r="F67" i="53"/>
  <c r="G135" i="53"/>
  <c r="F15" i="53"/>
  <c r="F68" i="53"/>
  <c r="G136" i="53"/>
  <c r="F16" i="53"/>
  <c r="F69" i="53"/>
  <c r="G137" i="53"/>
  <c r="F18" i="53"/>
  <c r="F71" i="53"/>
  <c r="G139" i="53"/>
  <c r="F19" i="53"/>
  <c r="F72" i="53"/>
  <c r="G140" i="53"/>
  <c r="F20" i="53"/>
  <c r="F73" i="53"/>
  <c r="G141" i="53"/>
  <c r="F21" i="53"/>
  <c r="F74" i="53"/>
  <c r="G142" i="53"/>
  <c r="F22" i="53"/>
  <c r="F75" i="53"/>
  <c r="G143" i="53"/>
  <c r="F23" i="53"/>
  <c r="F76" i="53"/>
  <c r="G144" i="53"/>
  <c r="F24" i="53"/>
  <c r="F77" i="53"/>
  <c r="G145" i="53"/>
  <c r="F25" i="53"/>
  <c r="F78" i="53"/>
  <c r="G146" i="53"/>
  <c r="F27" i="53"/>
  <c r="F80" i="53"/>
  <c r="G148" i="53"/>
  <c r="F28" i="53"/>
  <c r="F81" i="53"/>
  <c r="G149" i="53"/>
  <c r="F29" i="53"/>
  <c r="F82" i="53"/>
  <c r="G150" i="53"/>
  <c r="F30" i="53"/>
  <c r="F83" i="53"/>
  <c r="G151" i="53"/>
  <c r="F31" i="53"/>
  <c r="F84" i="53"/>
  <c r="G152" i="53"/>
  <c r="F33" i="53"/>
  <c r="F86" i="53"/>
  <c r="G154" i="53"/>
  <c r="F34" i="53"/>
  <c r="F87" i="53"/>
  <c r="G155" i="53"/>
  <c r="F35" i="53"/>
  <c r="F88" i="53"/>
  <c r="G156" i="53"/>
  <c r="F36" i="53"/>
  <c r="F89" i="53"/>
  <c r="G157" i="53"/>
  <c r="F37" i="53"/>
  <c r="F90" i="53"/>
  <c r="G158" i="53"/>
  <c r="F38" i="53"/>
  <c r="F91" i="53"/>
  <c r="G159" i="53"/>
  <c r="F39" i="53"/>
  <c r="F92" i="53"/>
  <c r="G160" i="53"/>
  <c r="F40" i="53"/>
  <c r="F93" i="53"/>
  <c r="G161" i="53"/>
  <c r="F41" i="53"/>
  <c r="F94" i="53"/>
  <c r="G162" i="53"/>
  <c r="F42" i="53"/>
  <c r="F95" i="53"/>
  <c r="G163" i="53"/>
  <c r="F43" i="53"/>
  <c r="F96" i="53"/>
  <c r="G164" i="53"/>
  <c r="F44" i="53"/>
  <c r="F97" i="53"/>
  <c r="G165" i="53"/>
  <c r="F45" i="53"/>
  <c r="F98" i="53"/>
  <c r="G166" i="53"/>
  <c r="F46" i="53"/>
  <c r="F99" i="53"/>
  <c r="G167" i="53"/>
  <c r="F47" i="53"/>
  <c r="F100" i="53"/>
  <c r="G168" i="53"/>
  <c r="F48" i="53"/>
  <c r="F101" i="53"/>
  <c r="G169" i="53"/>
  <c r="F49" i="53"/>
  <c r="F102" i="53"/>
  <c r="G170" i="53"/>
  <c r="F50" i="53"/>
  <c r="F103" i="53"/>
  <c r="G171" i="53"/>
  <c r="F51" i="53"/>
  <c r="F104" i="53"/>
  <c r="G172" i="53"/>
  <c r="F52" i="53"/>
  <c r="F105" i="53"/>
  <c r="G173" i="53"/>
  <c r="F53" i="53"/>
  <c r="F106" i="53"/>
  <c r="G174" i="53"/>
  <c r="F54" i="53"/>
  <c r="F107" i="53"/>
  <c r="G175" i="53"/>
  <c r="F55" i="53"/>
  <c r="F108" i="53"/>
  <c r="G176" i="53"/>
  <c r="F56" i="53"/>
  <c r="F109" i="53"/>
  <c r="G177" i="53"/>
  <c r="F57" i="53"/>
  <c r="F110" i="53"/>
  <c r="G178" i="53"/>
  <c r="F114" i="53"/>
  <c r="G182" i="53"/>
  <c r="F115" i="53"/>
  <c r="G183" i="53"/>
  <c r="F116" i="53"/>
  <c r="G184" i="53"/>
  <c r="F118" i="53"/>
  <c r="G187" i="53"/>
  <c r="F119" i="53"/>
  <c r="G188" i="53"/>
  <c r="G191" i="53"/>
  <c r="E12" i="21"/>
  <c r="E34" i="84"/>
  <c r="E62" i="84"/>
  <c r="E124" i="84"/>
  <c r="E141" i="84"/>
  <c r="G154" i="84"/>
  <c r="E125" i="84"/>
  <c r="E142" i="84"/>
  <c r="G155" i="84"/>
  <c r="E126" i="84"/>
  <c r="E143" i="84"/>
  <c r="G156" i="84"/>
  <c r="G159" i="84"/>
  <c r="E13" i="21"/>
  <c r="E15" i="21"/>
  <c r="G158" i="72"/>
  <c r="G159" i="72"/>
  <c r="G160" i="72"/>
  <c r="G161" i="72"/>
  <c r="G162" i="72"/>
  <c r="G163" i="72"/>
  <c r="G164" i="72"/>
  <c r="E12" i="72"/>
  <c r="G165" i="72"/>
  <c r="G166" i="72"/>
  <c r="G167" i="72"/>
  <c r="G168" i="72"/>
  <c r="G169" i="72"/>
  <c r="H8" i="61"/>
  <c r="G174" i="72"/>
  <c r="H17" i="61"/>
  <c r="G175" i="72"/>
  <c r="G177" i="72"/>
  <c r="E19" i="21"/>
  <c r="G27" i="42"/>
  <c r="G28" i="42"/>
  <c r="G29" i="42"/>
  <c r="G34" i="42"/>
  <c r="E20" i="21"/>
  <c r="H43" i="48"/>
  <c r="H44" i="48"/>
  <c r="H49" i="48"/>
  <c r="E21" i="21"/>
  <c r="G197" i="53"/>
  <c r="G198" i="53"/>
  <c r="G199" i="53"/>
  <c r="G200" i="53"/>
  <c r="G201" i="53"/>
  <c r="G202" i="53"/>
  <c r="G203" i="53"/>
  <c r="G204" i="53"/>
  <c r="G205" i="53"/>
  <c r="G206" i="53"/>
  <c r="G207" i="53"/>
  <c r="G208" i="53"/>
  <c r="G209" i="53"/>
  <c r="G210" i="53"/>
  <c r="G211" i="53"/>
  <c r="G212" i="53"/>
  <c r="G213" i="53"/>
  <c r="G214" i="53"/>
  <c r="G215" i="53"/>
  <c r="G216" i="53"/>
  <c r="G217" i="53"/>
  <c r="G218" i="53"/>
  <c r="G219" i="53"/>
  <c r="G221" i="53"/>
  <c r="G222" i="53"/>
  <c r="G223" i="53"/>
  <c r="G224" i="53"/>
  <c r="G225" i="53"/>
  <c r="G226" i="53"/>
  <c r="G227" i="53"/>
  <c r="G228" i="53"/>
  <c r="G229" i="53"/>
  <c r="G230" i="53"/>
  <c r="G231" i="53"/>
  <c r="G232" i="53"/>
  <c r="G233" i="53"/>
  <c r="G234" i="53"/>
  <c r="G235" i="53"/>
  <c r="G236" i="53"/>
  <c r="G237" i="53"/>
  <c r="G238" i="53"/>
  <c r="G239" i="53"/>
  <c r="G240" i="53"/>
  <c r="G241" i="53"/>
  <c r="G242" i="53"/>
  <c r="G243" i="53"/>
  <c r="G245" i="53"/>
  <c r="G246" i="53"/>
  <c r="G247" i="53"/>
  <c r="G250" i="53"/>
  <c r="G251" i="53"/>
  <c r="G253" i="53"/>
  <c r="G254" i="53"/>
  <c r="H6" i="61"/>
  <c r="G259" i="53"/>
  <c r="H15" i="61"/>
  <c r="G260" i="53"/>
  <c r="G262" i="53"/>
  <c r="E22" i="21"/>
  <c r="G163" i="84"/>
  <c r="G164" i="84"/>
  <c r="K14" i="83"/>
  <c r="E74" i="83"/>
  <c r="E13" i="84"/>
  <c r="E14" i="84"/>
  <c r="E15" i="84"/>
  <c r="E16" i="84"/>
  <c r="E17" i="84"/>
  <c r="E18" i="84"/>
  <c r="E19" i="84"/>
  <c r="E20" i="84"/>
  <c r="E21" i="84"/>
  <c r="E22" i="84"/>
  <c r="E23" i="84"/>
  <c r="E24" i="84"/>
  <c r="E25" i="84"/>
  <c r="E26" i="84"/>
  <c r="E27" i="84"/>
  <c r="E28" i="84"/>
  <c r="E29" i="84"/>
  <c r="E30" i="84"/>
  <c r="E92" i="83"/>
  <c r="E31" i="84"/>
  <c r="E93" i="83"/>
  <c r="E32" i="84"/>
  <c r="E94" i="83"/>
  <c r="E33" i="84"/>
  <c r="E35" i="84"/>
  <c r="E36" i="84"/>
  <c r="E37" i="84"/>
  <c r="E39" i="84"/>
  <c r="E12" i="84"/>
  <c r="G165" i="84"/>
  <c r="G166" i="84"/>
  <c r="G167" i="84"/>
  <c r="G168" i="84"/>
  <c r="G169" i="84"/>
  <c r="G177" i="84"/>
  <c r="E23" i="21"/>
  <c r="E25" i="21"/>
  <c r="E28" i="21"/>
  <c r="G180" i="72"/>
  <c r="G185" i="72"/>
  <c r="E29" i="21"/>
  <c r="G37" i="42"/>
  <c r="G43" i="42"/>
  <c r="E30" i="21"/>
  <c r="H52" i="48"/>
  <c r="H56" i="48"/>
  <c r="E31" i="21"/>
  <c r="G265" i="53"/>
  <c r="G266" i="53"/>
  <c r="G267" i="53"/>
  <c r="G268" i="53"/>
  <c r="G273" i="53"/>
  <c r="E32" i="21"/>
  <c r="G180" i="84"/>
  <c r="G181" i="84"/>
  <c r="G185" i="84"/>
  <c r="E33" i="21"/>
  <c r="H4" i="22"/>
  <c r="H8" i="22"/>
  <c r="H9" i="22"/>
  <c r="H10" i="22"/>
  <c r="H11" i="22"/>
  <c r="H12" i="22"/>
  <c r="H13" i="22"/>
  <c r="H14" i="22"/>
  <c r="H15" i="22"/>
  <c r="H16" i="22"/>
  <c r="H17" i="22"/>
  <c r="H18" i="22"/>
  <c r="H19" i="22"/>
  <c r="H20" i="22"/>
  <c r="H21" i="22"/>
  <c r="H22" i="22"/>
  <c r="H23" i="22"/>
  <c r="E35" i="21"/>
  <c r="E36" i="21"/>
  <c r="E38" i="21"/>
  <c r="E40" i="21"/>
  <c r="F50" i="22"/>
  <c r="F44" i="22"/>
  <c r="F38" i="22"/>
  <c r="F56" i="22"/>
  <c r="F62" i="22"/>
  <c r="F66" i="22"/>
  <c r="E42" i="21"/>
  <c r="F86" i="22"/>
  <c r="E43" i="21"/>
  <c r="E45" i="21"/>
  <c r="F45" i="23"/>
  <c r="E45" i="23"/>
  <c r="G45" i="23"/>
  <c r="C46" i="23"/>
  <c r="D46" i="23"/>
  <c r="F46" i="23"/>
  <c r="E46" i="23"/>
  <c r="G46" i="23"/>
  <c r="C47" i="23"/>
  <c r="D47" i="23"/>
  <c r="F47" i="23"/>
  <c r="E47" i="23"/>
  <c r="G47" i="23"/>
  <c r="C48" i="23"/>
  <c r="D48" i="23"/>
  <c r="F48" i="23"/>
  <c r="E48" i="23"/>
  <c r="G48" i="23"/>
  <c r="C49" i="23"/>
  <c r="D49" i="23"/>
  <c r="F49" i="23"/>
  <c r="E49" i="23"/>
  <c r="G49" i="23"/>
  <c r="C50" i="23"/>
  <c r="D50" i="23"/>
  <c r="F50" i="23"/>
  <c r="E50" i="23"/>
  <c r="G50" i="23"/>
  <c r="C51" i="23"/>
  <c r="D51" i="23"/>
  <c r="F51" i="23"/>
  <c r="E51" i="23"/>
  <c r="G51" i="23"/>
  <c r="C52" i="23"/>
  <c r="D52" i="23"/>
  <c r="F52" i="23"/>
  <c r="E52" i="23"/>
  <c r="G52" i="23"/>
  <c r="C53" i="23"/>
  <c r="D53" i="23"/>
  <c r="F53" i="23"/>
  <c r="E53" i="23"/>
  <c r="G53" i="23"/>
  <c r="C54" i="23"/>
  <c r="D54" i="23"/>
  <c r="F54" i="23"/>
  <c r="E54" i="23"/>
  <c r="G54" i="23"/>
  <c r="C55" i="23"/>
  <c r="D55" i="23"/>
  <c r="F55" i="23"/>
  <c r="E55" i="23"/>
  <c r="G55" i="23"/>
  <c r="C56" i="23"/>
  <c r="D56" i="23"/>
  <c r="F56" i="23"/>
  <c r="E56" i="23"/>
  <c r="G56" i="23"/>
  <c r="C57" i="23"/>
  <c r="D57" i="23"/>
  <c r="F26" i="68"/>
  <c r="H34" i="61"/>
  <c r="H35" i="61"/>
  <c r="H36" i="61"/>
  <c r="H37" i="61"/>
  <c r="H38" i="61"/>
  <c r="H39" i="61"/>
  <c r="H41" i="61"/>
  <c r="H16" i="61"/>
  <c r="H18" i="61"/>
  <c r="H21" i="61"/>
  <c r="H42" i="61"/>
  <c r="H44" i="61"/>
  <c r="H47" i="61"/>
  <c r="H48" i="61"/>
  <c r="H49" i="61"/>
  <c r="H50" i="61"/>
  <c r="H51" i="61"/>
  <c r="H52" i="61"/>
  <c r="H54" i="61"/>
  <c r="H55" i="61"/>
  <c r="F11" i="68"/>
  <c r="F27" i="68"/>
  <c r="F28" i="68"/>
  <c r="E47" i="21"/>
  <c r="E49" i="21"/>
  <c r="E95" i="22"/>
  <c r="E96" i="22"/>
  <c r="M52" i="22"/>
  <c r="N49" i="22"/>
  <c r="N50" i="22"/>
  <c r="M46" i="22"/>
  <c r="N43" i="22"/>
  <c r="N44" i="22"/>
  <c r="M40" i="22"/>
  <c r="N37" i="22"/>
  <c r="N38" i="22"/>
  <c r="M58" i="22"/>
  <c r="N55" i="22"/>
  <c r="N56" i="22"/>
  <c r="M64" i="22"/>
  <c r="N61" i="22"/>
  <c r="N62" i="22"/>
  <c r="N66" i="22"/>
  <c r="E97" i="22"/>
  <c r="E98" i="22"/>
  <c r="E99" i="22"/>
  <c r="E50" i="21"/>
  <c r="E51" i="21"/>
  <c r="F80" i="29"/>
  <c r="B23" i="72"/>
  <c r="B47" i="72"/>
  <c r="B97" i="72"/>
  <c r="E141" i="72"/>
  <c r="B14" i="72"/>
  <c r="B38" i="72"/>
  <c r="B64" i="72"/>
  <c r="E142" i="72"/>
  <c r="B18" i="72"/>
  <c r="B42" i="72"/>
  <c r="B79" i="72"/>
  <c r="E143" i="72"/>
  <c r="B16" i="72"/>
  <c r="B40" i="72"/>
  <c r="B71" i="72"/>
  <c r="E144" i="72"/>
  <c r="C93" i="72"/>
  <c r="E146" i="72"/>
  <c r="C74" i="72"/>
  <c r="E147" i="72"/>
  <c r="C63" i="72"/>
  <c r="C65" i="72"/>
  <c r="C96" i="72"/>
  <c r="C98" i="72"/>
  <c r="C78" i="72"/>
  <c r="C80" i="72"/>
  <c r="C72" i="72"/>
  <c r="E150" i="72"/>
  <c r="E152" i="72"/>
  <c r="E154" i="72"/>
  <c r="C9" i="21"/>
  <c r="C10" i="42"/>
  <c r="E21" i="42"/>
  <c r="E23" i="42"/>
  <c r="C10" i="21"/>
  <c r="F28" i="48"/>
  <c r="F29" i="48"/>
  <c r="F30" i="48"/>
  <c r="F31" i="48"/>
  <c r="F32" i="48"/>
  <c r="F33" i="48"/>
  <c r="F34" i="48"/>
  <c r="F35" i="48"/>
  <c r="F36" i="48"/>
  <c r="F37" i="48"/>
  <c r="F38" i="48"/>
  <c r="F39" i="48"/>
  <c r="C11" i="21"/>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30" i="53"/>
  <c r="C83" i="53"/>
  <c r="E151" i="53"/>
  <c r="C31" i="53"/>
  <c r="C84" i="53"/>
  <c r="E152" i="53"/>
  <c r="C33" i="53"/>
  <c r="C86" i="53"/>
  <c r="E154" i="53"/>
  <c r="C34" i="53"/>
  <c r="C87" i="53"/>
  <c r="E155" i="53"/>
  <c r="C35" i="53"/>
  <c r="C88" i="53"/>
  <c r="E156" i="53"/>
  <c r="C36" i="53"/>
  <c r="C89" i="53"/>
  <c r="E157" i="53"/>
  <c r="C37" i="53"/>
  <c r="C90" i="53"/>
  <c r="E158" i="53"/>
  <c r="C38" i="53"/>
  <c r="C91" i="53"/>
  <c r="E159" i="53"/>
  <c r="C39" i="53"/>
  <c r="C92" i="53"/>
  <c r="E160" i="53"/>
  <c r="C40" i="53"/>
  <c r="C93" i="53"/>
  <c r="E161" i="53"/>
  <c r="C41" i="53"/>
  <c r="C94" i="53"/>
  <c r="E162" i="53"/>
  <c r="C42" i="53"/>
  <c r="C95" i="53"/>
  <c r="E163" i="53"/>
  <c r="C43" i="53"/>
  <c r="C96" i="53"/>
  <c r="E164" i="53"/>
  <c r="C44" i="53"/>
  <c r="C97" i="53"/>
  <c r="E165" i="53"/>
  <c r="C45" i="53"/>
  <c r="C98" i="53"/>
  <c r="E166" i="53"/>
  <c r="C46" i="53"/>
  <c r="C99" i="53"/>
  <c r="E167" i="53"/>
  <c r="C47" i="53"/>
  <c r="C100" i="53"/>
  <c r="E168" i="53"/>
  <c r="C48" i="53"/>
  <c r="C101" i="53"/>
  <c r="E169" i="53"/>
  <c r="C49" i="53"/>
  <c r="C102" i="53"/>
  <c r="E170" i="53"/>
  <c r="C50" i="53"/>
  <c r="C103" i="53"/>
  <c r="E171" i="53"/>
  <c r="C51" i="53"/>
  <c r="C104" i="53"/>
  <c r="E172" i="53"/>
  <c r="C52" i="53"/>
  <c r="C105" i="53"/>
  <c r="E173" i="53"/>
  <c r="C53" i="53"/>
  <c r="C106" i="53"/>
  <c r="E174" i="53"/>
  <c r="C54" i="53"/>
  <c r="C107" i="53"/>
  <c r="E175" i="53"/>
  <c r="C55" i="53"/>
  <c r="C108" i="53"/>
  <c r="E176" i="53"/>
  <c r="C56" i="53"/>
  <c r="C109" i="53"/>
  <c r="E177" i="53"/>
  <c r="C57" i="53"/>
  <c r="C110" i="53"/>
  <c r="E178" i="53"/>
  <c r="C9" i="53"/>
  <c r="C62" i="53"/>
  <c r="C114" i="53"/>
  <c r="E182" i="53"/>
  <c r="C115" i="53"/>
  <c r="E183" i="53"/>
  <c r="C116" i="53"/>
  <c r="E184" i="53"/>
  <c r="C118" i="53"/>
  <c r="E187" i="53"/>
  <c r="C119" i="53"/>
  <c r="E188" i="53"/>
  <c r="E191" i="53"/>
  <c r="C12" i="21"/>
  <c r="B34" i="84"/>
  <c r="B62" i="84"/>
  <c r="B124" i="84"/>
  <c r="B141" i="84"/>
  <c r="E154" i="84"/>
  <c r="B125" i="84"/>
  <c r="B142" i="84"/>
  <c r="E155" i="84"/>
  <c r="B126" i="84"/>
  <c r="B143" i="84"/>
  <c r="E156" i="84"/>
  <c r="E159" i="84"/>
  <c r="C13" i="21"/>
  <c r="C15" i="21"/>
  <c r="E169" i="72"/>
  <c r="D158" i="72"/>
  <c r="D159" i="72"/>
  <c r="D160" i="72"/>
  <c r="D161" i="72"/>
  <c r="B27" i="72"/>
  <c r="D162" i="72"/>
  <c r="B25" i="72"/>
  <c r="B50" i="72"/>
  <c r="B73" i="72"/>
  <c r="D163" i="72"/>
  <c r="B13" i="72"/>
  <c r="B15" i="72"/>
  <c r="B17" i="72"/>
  <c r="B19" i="72"/>
  <c r="B20" i="72"/>
  <c r="B21" i="72"/>
  <c r="B22" i="72"/>
  <c r="B24" i="72"/>
  <c r="B26" i="72"/>
  <c r="B28" i="72"/>
  <c r="B29" i="72"/>
  <c r="B30" i="72"/>
  <c r="B31" i="72"/>
  <c r="B32" i="72"/>
  <c r="D164" i="72"/>
  <c r="B12" i="72"/>
  <c r="D165" i="72"/>
  <c r="D166" i="72"/>
  <c r="B35" i="72"/>
  <c r="D167" i="72"/>
  <c r="B70" i="72"/>
  <c r="D168" i="72"/>
  <c r="E17" i="61"/>
  <c r="F8" i="61"/>
  <c r="E174" i="72"/>
  <c r="E175" i="72"/>
  <c r="E177" i="72"/>
  <c r="C19" i="21"/>
  <c r="E27" i="42"/>
  <c r="E28" i="42"/>
  <c r="E29" i="42"/>
  <c r="E34" i="42"/>
  <c r="C20" i="21"/>
  <c r="F43" i="48"/>
  <c r="F44" i="48"/>
  <c r="F49" i="48"/>
  <c r="C21" i="21"/>
  <c r="E253" i="53"/>
  <c r="E254" i="53"/>
  <c r="D197" i="53"/>
  <c r="D198" i="53"/>
  <c r="D199" i="53"/>
  <c r="D200" i="53"/>
  <c r="D201" i="53"/>
  <c r="D202" i="53"/>
  <c r="D203" i="53"/>
  <c r="D204" i="53"/>
  <c r="D205" i="53"/>
  <c r="D206" i="53"/>
  <c r="D207" i="53"/>
  <c r="D208" i="53"/>
  <c r="D209" i="53"/>
  <c r="D210" i="53"/>
  <c r="D211" i="53"/>
  <c r="D212" i="53"/>
  <c r="D213" i="53"/>
  <c r="D214" i="53"/>
  <c r="D215" i="53"/>
  <c r="D216" i="53"/>
  <c r="D217" i="53"/>
  <c r="D218" i="53"/>
  <c r="D219" i="53"/>
  <c r="D221" i="53"/>
  <c r="D222" i="53"/>
  <c r="D223" i="53"/>
  <c r="D224" i="53"/>
  <c r="D225" i="53"/>
  <c r="D226" i="53"/>
  <c r="D227" i="53"/>
  <c r="D228" i="53"/>
  <c r="D229" i="53"/>
  <c r="D230" i="53"/>
  <c r="D231" i="53"/>
  <c r="D232" i="53"/>
  <c r="D233" i="53"/>
  <c r="D234" i="53"/>
  <c r="D235" i="53"/>
  <c r="D236" i="53"/>
  <c r="D237" i="53"/>
  <c r="D238" i="53"/>
  <c r="D239" i="53"/>
  <c r="D240" i="53"/>
  <c r="D241" i="53"/>
  <c r="D242" i="53"/>
  <c r="D243" i="53"/>
  <c r="D245" i="53"/>
  <c r="D246" i="53"/>
  <c r="D247" i="53"/>
  <c r="D250" i="53"/>
  <c r="D251" i="53"/>
  <c r="E15" i="61"/>
  <c r="F6" i="61"/>
  <c r="E259" i="53"/>
  <c r="E260" i="53"/>
  <c r="E262" i="53"/>
  <c r="C22" i="21"/>
  <c r="E163" i="84"/>
  <c r="E164" i="84"/>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5" i="84"/>
  <c r="E166" i="84"/>
  <c r="E167" i="84"/>
  <c r="E168" i="84"/>
  <c r="E169" i="84"/>
  <c r="E177" i="84"/>
  <c r="C23" i="21"/>
  <c r="C25" i="21"/>
  <c r="C28" i="21"/>
  <c r="E180" i="72"/>
  <c r="E185" i="72"/>
  <c r="C29" i="21"/>
  <c r="E37" i="42"/>
  <c r="E43" i="42"/>
  <c r="C30" i="21"/>
  <c r="F52" i="48"/>
  <c r="F56" i="48"/>
  <c r="C31" i="21"/>
  <c r="E265" i="53"/>
  <c r="E266" i="53"/>
  <c r="E267" i="53"/>
  <c r="E268" i="53"/>
  <c r="E273" i="53"/>
  <c r="C32" i="21"/>
  <c r="E180" i="84"/>
  <c r="E181" i="84"/>
  <c r="E185" i="84"/>
  <c r="C33" i="21"/>
  <c r="F8" i="22"/>
  <c r="F9" i="22"/>
  <c r="F10" i="22"/>
  <c r="F11" i="22"/>
  <c r="F12" i="22"/>
  <c r="F13" i="22"/>
  <c r="F14" i="22"/>
  <c r="F15" i="22"/>
  <c r="F16" i="22"/>
  <c r="F17" i="22"/>
  <c r="F18" i="22"/>
  <c r="F19" i="22"/>
  <c r="F20" i="22"/>
  <c r="F21" i="22"/>
  <c r="F22" i="22"/>
  <c r="F23" i="22"/>
  <c r="C35" i="21"/>
  <c r="C36" i="21"/>
  <c r="C38" i="21"/>
  <c r="C40" i="21"/>
  <c r="D50" i="22"/>
  <c r="D44" i="22"/>
  <c r="D38" i="22"/>
  <c r="D56" i="22"/>
  <c r="D62" i="22"/>
  <c r="D66" i="22"/>
  <c r="C42" i="21"/>
  <c r="D86" i="22"/>
  <c r="C43" i="21"/>
  <c r="C45" i="21"/>
  <c r="D26" i="68"/>
  <c r="F34" i="61"/>
  <c r="F35" i="61"/>
  <c r="F36" i="61"/>
  <c r="F37" i="61"/>
  <c r="F38" i="61"/>
  <c r="F39" i="61"/>
  <c r="F41" i="61"/>
  <c r="F16" i="61"/>
  <c r="F18" i="61"/>
  <c r="F21" i="61"/>
  <c r="F42" i="61"/>
  <c r="F44" i="61"/>
  <c r="F47" i="61"/>
  <c r="F48" i="61"/>
  <c r="F49" i="61"/>
  <c r="F50" i="61"/>
  <c r="F51" i="61"/>
  <c r="F52" i="61"/>
  <c r="F54" i="61"/>
  <c r="F55" i="61"/>
  <c r="D11" i="68"/>
  <c r="D27" i="68"/>
  <c r="D28" i="68"/>
  <c r="C47" i="21"/>
  <c r="C49" i="21"/>
  <c r="C95" i="22"/>
  <c r="C96" i="22"/>
  <c r="L66" i="22"/>
  <c r="C97" i="22"/>
  <c r="C98" i="22"/>
  <c r="C99" i="22"/>
  <c r="C50" i="21"/>
  <c r="C51" i="21"/>
  <c r="D80" i="29"/>
  <c r="J21" i="57"/>
  <c r="K11" i="57"/>
  <c r="I13" i="62"/>
  <c r="L3" i="57"/>
  <c r="K3" i="57"/>
  <c r="J13" i="62"/>
  <c r="K94" i="57"/>
  <c r="J10" i="62"/>
  <c r="E109" i="29"/>
  <c r="E113" i="29"/>
  <c r="E25" i="68"/>
  <c r="E115" i="29"/>
  <c r="E117" i="29"/>
  <c r="F109" i="29"/>
  <c r="F113" i="29"/>
  <c r="F57" i="23"/>
  <c r="E57" i="23"/>
  <c r="F25" i="68"/>
  <c r="F115" i="29"/>
  <c r="F117" i="29"/>
  <c r="F23" i="72"/>
  <c r="F34" i="72"/>
  <c r="F47" i="72"/>
  <c r="F97" i="72"/>
  <c r="H141" i="72"/>
  <c r="F14" i="72"/>
  <c r="F38" i="72"/>
  <c r="F64" i="72"/>
  <c r="H142" i="72"/>
  <c r="F18" i="72"/>
  <c r="F42" i="72"/>
  <c r="F79" i="72"/>
  <c r="H143" i="72"/>
  <c r="F16" i="72"/>
  <c r="F40" i="72"/>
  <c r="F71" i="72"/>
  <c r="H144" i="72"/>
  <c r="F63" i="72"/>
  <c r="F65" i="72"/>
  <c r="F96" i="72"/>
  <c r="F98" i="72"/>
  <c r="F78" i="72"/>
  <c r="F80" i="72"/>
  <c r="F70" i="72"/>
  <c r="F72" i="72"/>
  <c r="H150" i="72"/>
  <c r="F13" i="72"/>
  <c r="F15" i="72"/>
  <c r="F17" i="72"/>
  <c r="F19" i="72"/>
  <c r="F20" i="72"/>
  <c r="F21" i="72"/>
  <c r="F22" i="72"/>
  <c r="F24" i="72"/>
  <c r="F25" i="72"/>
  <c r="F26" i="72"/>
  <c r="F27" i="72"/>
  <c r="F28" i="72"/>
  <c r="F29" i="72"/>
  <c r="F30" i="72"/>
  <c r="F31" i="72"/>
  <c r="F32" i="72"/>
  <c r="F35" i="72"/>
  <c r="H152" i="72"/>
  <c r="F93" i="72"/>
  <c r="H146" i="72"/>
  <c r="F50" i="72"/>
  <c r="F73" i="72"/>
  <c r="F74" i="72"/>
  <c r="H147" i="72"/>
  <c r="H154" i="72"/>
  <c r="F9" i="21"/>
  <c r="G24" i="53"/>
  <c r="G77" i="53"/>
  <c r="H145" i="53"/>
  <c r="G25" i="53"/>
  <c r="G78" i="53"/>
  <c r="H146" i="53"/>
  <c r="G27" i="53"/>
  <c r="G80" i="53"/>
  <c r="H148" i="53"/>
  <c r="G28" i="53"/>
  <c r="G81" i="53"/>
  <c r="H149" i="53"/>
  <c r="G29" i="53"/>
  <c r="G82" i="53"/>
  <c r="H150" i="53"/>
  <c r="G9" i="53"/>
  <c r="G62" i="53"/>
  <c r="G10" i="53"/>
  <c r="G63" i="53"/>
  <c r="G11" i="53"/>
  <c r="G64" i="53"/>
  <c r="G12" i="53"/>
  <c r="G65" i="53"/>
  <c r="G13" i="53"/>
  <c r="G66" i="53"/>
  <c r="G14" i="53"/>
  <c r="G67" i="53"/>
  <c r="G15" i="53"/>
  <c r="G68" i="53"/>
  <c r="G16" i="53"/>
  <c r="G69" i="53"/>
  <c r="G18" i="53"/>
  <c r="G71" i="53"/>
  <c r="G19" i="53"/>
  <c r="G72" i="53"/>
  <c r="G20" i="53"/>
  <c r="G73" i="53"/>
  <c r="G21" i="53"/>
  <c r="G74" i="53"/>
  <c r="G22" i="53"/>
  <c r="G75" i="53"/>
  <c r="G23" i="53"/>
  <c r="G76" i="53"/>
  <c r="G30" i="53"/>
  <c r="G83" i="53"/>
  <c r="G31" i="53"/>
  <c r="G84"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114" i="53"/>
  <c r="H182" i="53"/>
  <c r="G115" i="53"/>
  <c r="H183" i="53"/>
  <c r="G116" i="53"/>
  <c r="H184" i="53"/>
  <c r="G118" i="53"/>
  <c r="H187" i="53"/>
  <c r="G119" i="53"/>
  <c r="H188" i="53"/>
  <c r="H130" i="53"/>
  <c r="H131" i="53"/>
  <c r="H132" i="53"/>
  <c r="H133" i="53"/>
  <c r="H134" i="53"/>
  <c r="H135" i="53"/>
  <c r="H136" i="53"/>
  <c r="H137" i="53"/>
  <c r="H139" i="53"/>
  <c r="H140" i="53"/>
  <c r="H141" i="53"/>
  <c r="H142" i="53"/>
  <c r="H143" i="53"/>
  <c r="H144"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91" i="53"/>
  <c r="F12" i="21"/>
  <c r="F10" i="42"/>
  <c r="H21" i="42"/>
  <c r="H23" i="42"/>
  <c r="F10" i="21"/>
  <c r="I28" i="48"/>
  <c r="I29" i="48"/>
  <c r="I30" i="48"/>
  <c r="I31" i="48"/>
  <c r="I32" i="48"/>
  <c r="I33" i="48"/>
  <c r="I34" i="48"/>
  <c r="I35" i="48"/>
  <c r="I36" i="48"/>
  <c r="I37" i="48"/>
  <c r="I38" i="48"/>
  <c r="I39" i="48"/>
  <c r="F11" i="21"/>
  <c r="F34" i="84"/>
  <c r="F62" i="84"/>
  <c r="F124" i="84"/>
  <c r="F141" i="84"/>
  <c r="H154" i="84"/>
  <c r="F125" i="84"/>
  <c r="F142" i="84"/>
  <c r="H155" i="84"/>
  <c r="F126" i="84"/>
  <c r="F143" i="84"/>
  <c r="H156" i="84"/>
  <c r="H159" i="84"/>
  <c r="F13" i="21"/>
  <c r="F15" i="21"/>
  <c r="H158" i="72"/>
  <c r="H159" i="72"/>
  <c r="H160" i="72"/>
  <c r="H161" i="72"/>
  <c r="H164" i="72"/>
  <c r="F12" i="72"/>
  <c r="H165" i="72"/>
  <c r="H166" i="72"/>
  <c r="H167" i="72"/>
  <c r="H168" i="72"/>
  <c r="H169" i="72"/>
  <c r="I8" i="61"/>
  <c r="H174" i="72"/>
  <c r="H162" i="72"/>
  <c r="H163" i="72"/>
  <c r="I17" i="61"/>
  <c r="H175" i="72"/>
  <c r="H177" i="72"/>
  <c r="F19" i="21"/>
  <c r="L14" i="83"/>
  <c r="F74" i="83"/>
  <c r="F13" i="84"/>
  <c r="F14" i="84"/>
  <c r="F15" i="84"/>
  <c r="F16" i="84"/>
  <c r="F17" i="84"/>
  <c r="F18" i="84"/>
  <c r="F19" i="84"/>
  <c r="F20" i="84"/>
  <c r="F21" i="84"/>
  <c r="F22" i="84"/>
  <c r="F23" i="84"/>
  <c r="F24" i="84"/>
  <c r="F25" i="84"/>
  <c r="F26" i="84"/>
  <c r="F27" i="84"/>
  <c r="F28" i="84"/>
  <c r="F29" i="84"/>
  <c r="F30" i="84"/>
  <c r="F92" i="83"/>
  <c r="F31" i="84"/>
  <c r="F93" i="83"/>
  <c r="F32" i="84"/>
  <c r="F94" i="83"/>
  <c r="F33" i="84"/>
  <c r="F35" i="84"/>
  <c r="F36" i="84"/>
  <c r="F37" i="84"/>
  <c r="F39" i="84"/>
  <c r="F12" i="84"/>
  <c r="H166" i="84"/>
  <c r="H163" i="84"/>
  <c r="H164" i="84"/>
  <c r="H165" i="84"/>
  <c r="H167" i="84"/>
  <c r="H168" i="84"/>
  <c r="H169" i="84"/>
  <c r="H177" i="84"/>
  <c r="F23" i="21"/>
  <c r="H212" i="53"/>
  <c r="H213" i="53"/>
  <c r="H215" i="53"/>
  <c r="H216" i="53"/>
  <c r="H217" i="53"/>
  <c r="H245" i="53"/>
  <c r="H246" i="53"/>
  <c r="H247" i="53"/>
  <c r="H250" i="53"/>
  <c r="H251" i="53"/>
  <c r="H253" i="53"/>
  <c r="H254" i="53"/>
  <c r="I6" i="61"/>
  <c r="H259" i="53"/>
  <c r="H197" i="53"/>
  <c r="H198" i="53"/>
  <c r="H199" i="53"/>
  <c r="H200" i="53"/>
  <c r="H201" i="53"/>
  <c r="H202" i="53"/>
  <c r="H203" i="53"/>
  <c r="H204" i="53"/>
  <c r="H205" i="53"/>
  <c r="H206" i="53"/>
  <c r="H207" i="53"/>
  <c r="H208" i="53"/>
  <c r="H209" i="53"/>
  <c r="H210" i="53"/>
  <c r="H211" i="53"/>
  <c r="H214" i="53"/>
  <c r="H218" i="53"/>
  <c r="H219" i="53"/>
  <c r="H221" i="53"/>
  <c r="H222" i="53"/>
  <c r="H223" i="53"/>
  <c r="H224" i="53"/>
  <c r="H225" i="53"/>
  <c r="H226" i="53"/>
  <c r="H227" i="53"/>
  <c r="H228" i="53"/>
  <c r="H229" i="53"/>
  <c r="H230" i="53"/>
  <c r="H231" i="53"/>
  <c r="H232" i="53"/>
  <c r="H233" i="53"/>
  <c r="H234" i="53"/>
  <c r="H235" i="53"/>
  <c r="H236" i="53"/>
  <c r="H237" i="53"/>
  <c r="H238" i="53"/>
  <c r="H239" i="53"/>
  <c r="H240" i="53"/>
  <c r="H241" i="53"/>
  <c r="H242" i="53"/>
  <c r="H243" i="53"/>
  <c r="I15" i="61"/>
  <c r="H260" i="53"/>
  <c r="H262" i="53"/>
  <c r="F22" i="21"/>
  <c r="H27" i="42"/>
  <c r="H28" i="42"/>
  <c r="H29" i="42"/>
  <c r="H34" i="42"/>
  <c r="F20" i="21"/>
  <c r="I43" i="48"/>
  <c r="I44" i="48"/>
  <c r="I49" i="48"/>
  <c r="F21" i="21"/>
  <c r="F25" i="21"/>
  <c r="F28" i="21"/>
  <c r="H180" i="72"/>
  <c r="H185" i="72"/>
  <c r="F29" i="21"/>
  <c r="I4" i="22"/>
  <c r="I8" i="22"/>
  <c r="I9" i="22"/>
  <c r="I10" i="22"/>
  <c r="I11" i="22"/>
  <c r="I12" i="22"/>
  <c r="I13" i="22"/>
  <c r="I14" i="22"/>
  <c r="I15" i="22"/>
  <c r="I16" i="22"/>
  <c r="I17" i="22"/>
  <c r="I18" i="22"/>
  <c r="I19" i="22"/>
  <c r="I20" i="22"/>
  <c r="I21" i="22"/>
  <c r="I22" i="22"/>
  <c r="I23" i="22"/>
  <c r="F35" i="21"/>
  <c r="H37" i="42"/>
  <c r="H43" i="42"/>
  <c r="F30" i="21"/>
  <c r="I52" i="48"/>
  <c r="I56" i="48"/>
  <c r="F31" i="21"/>
  <c r="H265" i="53"/>
  <c r="H266" i="53"/>
  <c r="H267" i="53"/>
  <c r="H268" i="53"/>
  <c r="H273" i="53"/>
  <c r="F32" i="21"/>
  <c r="H180" i="84"/>
  <c r="H181" i="84"/>
  <c r="H185" i="84"/>
  <c r="F33" i="21"/>
  <c r="F36" i="21"/>
  <c r="F38" i="21"/>
  <c r="F40" i="21"/>
  <c r="G44" i="22"/>
  <c r="G38" i="22"/>
  <c r="G50" i="22"/>
  <c r="G56" i="22"/>
  <c r="G62" i="22"/>
  <c r="G66" i="22"/>
  <c r="F42" i="21"/>
  <c r="G86" i="22"/>
  <c r="F43" i="21"/>
  <c r="F45" i="21"/>
  <c r="I36" i="61"/>
  <c r="I37" i="61"/>
  <c r="I34" i="61"/>
  <c r="I38" i="61"/>
  <c r="I35" i="61"/>
  <c r="I39" i="61"/>
  <c r="I41" i="61"/>
  <c r="I16" i="61"/>
  <c r="I18" i="61"/>
  <c r="I21" i="61"/>
  <c r="I42" i="61"/>
  <c r="I44" i="61"/>
  <c r="I49" i="61"/>
  <c r="I50" i="61"/>
  <c r="I52" i="61"/>
  <c r="I47" i="61"/>
  <c r="I51" i="61"/>
  <c r="I48" i="61"/>
  <c r="I54" i="61"/>
  <c r="I55" i="61"/>
  <c r="G11" i="68"/>
  <c r="G27" i="68"/>
  <c r="G28" i="68"/>
  <c r="G57" i="23"/>
  <c r="C58" i="23"/>
  <c r="D58" i="23"/>
  <c r="F58" i="23"/>
  <c r="E58" i="23"/>
  <c r="G58" i="23"/>
  <c r="C59" i="23"/>
  <c r="D59" i="23"/>
  <c r="F59" i="23"/>
  <c r="E59" i="23"/>
  <c r="G59" i="23"/>
  <c r="C60" i="23"/>
  <c r="D60" i="23"/>
  <c r="F60" i="23"/>
  <c r="E60" i="23"/>
  <c r="G60" i="23"/>
  <c r="C61" i="23"/>
  <c r="D61" i="23"/>
  <c r="F61" i="23"/>
  <c r="E61" i="23"/>
  <c r="G61" i="23"/>
  <c r="C62" i="23"/>
  <c r="D62" i="23"/>
  <c r="F62" i="23"/>
  <c r="E62" i="23"/>
  <c r="G62" i="23"/>
  <c r="C63" i="23"/>
  <c r="D63" i="23"/>
  <c r="F63" i="23"/>
  <c r="E63" i="23"/>
  <c r="G63" i="23"/>
  <c r="C64" i="23"/>
  <c r="D64" i="23"/>
  <c r="F64" i="23"/>
  <c r="E64" i="23"/>
  <c r="G64" i="23"/>
  <c r="C65" i="23"/>
  <c r="D65" i="23"/>
  <c r="F65" i="23"/>
  <c r="E65" i="23"/>
  <c r="G65" i="23"/>
  <c r="C66" i="23"/>
  <c r="D66" i="23"/>
  <c r="F66" i="23"/>
  <c r="E66" i="23"/>
  <c r="G66" i="23"/>
  <c r="C67" i="23"/>
  <c r="D67" i="23"/>
  <c r="F67" i="23"/>
  <c r="E67" i="23"/>
  <c r="G67" i="23"/>
  <c r="C68" i="23"/>
  <c r="D68" i="23"/>
  <c r="F68" i="23"/>
  <c r="E68" i="23"/>
  <c r="G68" i="23"/>
  <c r="C69" i="23"/>
  <c r="D69" i="23"/>
  <c r="G26" i="68"/>
  <c r="F47" i="21"/>
  <c r="F49" i="21"/>
  <c r="F95" i="22"/>
  <c r="F96" i="22"/>
  <c r="N46" i="22"/>
  <c r="O43" i="22"/>
  <c r="O44" i="22"/>
  <c r="N40" i="22"/>
  <c r="O37" i="22"/>
  <c r="O38" i="22"/>
  <c r="N52" i="22"/>
  <c r="O49" i="22"/>
  <c r="O50" i="22"/>
  <c r="N58" i="22"/>
  <c r="O55" i="22"/>
  <c r="O56" i="22"/>
  <c r="N64" i="22"/>
  <c r="O61" i="22"/>
  <c r="O62" i="22"/>
  <c r="O66" i="22"/>
  <c r="F97" i="22"/>
  <c r="F98" i="22"/>
  <c r="F99" i="22"/>
  <c r="F50" i="21"/>
  <c r="F51" i="21"/>
  <c r="G109" i="29"/>
  <c r="G113" i="29"/>
  <c r="F69" i="23"/>
  <c r="E69" i="23"/>
  <c r="G25" i="68"/>
  <c r="G115" i="29"/>
  <c r="G117" i="29"/>
  <c r="D141" i="72"/>
  <c r="D142" i="72"/>
  <c r="D143" i="72"/>
  <c r="D144" i="72"/>
  <c r="B63" i="72"/>
  <c r="B65" i="72"/>
  <c r="B96" i="72"/>
  <c r="B98" i="72"/>
  <c r="B78" i="72"/>
  <c r="B80" i="72"/>
  <c r="B72" i="72"/>
  <c r="D150" i="72"/>
  <c r="D152" i="72"/>
  <c r="B93" i="72"/>
  <c r="D146" i="72"/>
  <c r="B74" i="72"/>
  <c r="D147" i="72"/>
  <c r="D154" i="72"/>
  <c r="B9" i="21"/>
  <c r="D145" i="53"/>
  <c r="D146" i="53"/>
  <c r="D148" i="53"/>
  <c r="D149" i="53"/>
  <c r="D150" i="53"/>
  <c r="D182" i="53"/>
  <c r="D183" i="53"/>
  <c r="D184" i="53"/>
  <c r="D187" i="53"/>
  <c r="D188" i="53"/>
  <c r="D130" i="53"/>
  <c r="D131" i="53"/>
  <c r="D132" i="53"/>
  <c r="D133" i="53"/>
  <c r="D134" i="53"/>
  <c r="D135" i="53"/>
  <c r="D136" i="53"/>
  <c r="D137" i="53"/>
  <c r="D139" i="53"/>
  <c r="D140" i="53"/>
  <c r="D141" i="53"/>
  <c r="D142" i="53"/>
  <c r="D143" i="53"/>
  <c r="D144" i="53"/>
  <c r="D151" i="53"/>
  <c r="D152"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91" i="53"/>
  <c r="B12" i="21"/>
  <c r="B10" i="42"/>
  <c r="D21" i="42"/>
  <c r="D23" i="42"/>
  <c r="B10" i="21"/>
  <c r="E28" i="48"/>
  <c r="E29" i="48"/>
  <c r="E30" i="48"/>
  <c r="E31" i="48"/>
  <c r="E32" i="48"/>
  <c r="E33" i="48"/>
  <c r="E34" i="48"/>
  <c r="E35" i="48"/>
  <c r="E36" i="48"/>
  <c r="E37" i="48"/>
  <c r="E38" i="48"/>
  <c r="E39" i="48"/>
  <c r="B11" i="21"/>
  <c r="D154" i="84"/>
  <c r="D155" i="84"/>
  <c r="D156" i="84"/>
  <c r="D159" i="84"/>
  <c r="B13" i="21"/>
  <c r="B15" i="21"/>
  <c r="D169" i="72"/>
  <c r="D175" i="72"/>
  <c r="D177" i="72"/>
  <c r="B19" i="21"/>
  <c r="F14" i="83"/>
  <c r="H14" i="83"/>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6" i="84"/>
  <c r="D163" i="84"/>
  <c r="D164" i="84"/>
  <c r="D165" i="84"/>
  <c r="D167" i="84"/>
  <c r="D168" i="84"/>
  <c r="D169" i="84"/>
  <c r="D177" i="84"/>
  <c r="B23" i="21"/>
  <c r="D253" i="53"/>
  <c r="D254" i="53"/>
  <c r="D260" i="53"/>
  <c r="D262" i="53"/>
  <c r="B22" i="21"/>
  <c r="D27" i="42"/>
  <c r="D28" i="42"/>
  <c r="D29" i="42"/>
  <c r="D34" i="42"/>
  <c r="B20" i="21"/>
  <c r="E43" i="48"/>
  <c r="E44" i="48"/>
  <c r="E49" i="48"/>
  <c r="B21" i="21"/>
  <c r="B25" i="21"/>
  <c r="B28" i="21"/>
  <c r="D180" i="72"/>
  <c r="D185" i="72"/>
  <c r="B29" i="21"/>
  <c r="E8" i="22"/>
  <c r="E9" i="22"/>
  <c r="E10" i="22"/>
  <c r="E11" i="22"/>
  <c r="E12" i="22"/>
  <c r="E13" i="22"/>
  <c r="E14" i="22"/>
  <c r="E15" i="22"/>
  <c r="E16" i="22"/>
  <c r="E17" i="22"/>
  <c r="E18" i="22"/>
  <c r="E19" i="22"/>
  <c r="E20" i="22"/>
  <c r="E21" i="22"/>
  <c r="E22" i="22"/>
  <c r="E23" i="22"/>
  <c r="B35" i="21"/>
  <c r="D37" i="42"/>
  <c r="D43" i="42"/>
  <c r="B30" i="21"/>
  <c r="E52" i="48"/>
  <c r="E56" i="48"/>
  <c r="B31" i="21"/>
  <c r="D265" i="53"/>
  <c r="D266" i="53"/>
  <c r="D267" i="53"/>
  <c r="D268" i="53"/>
  <c r="D273" i="53"/>
  <c r="B32" i="21"/>
  <c r="D180" i="84"/>
  <c r="D181" i="84"/>
  <c r="D185" i="84"/>
  <c r="B33" i="21"/>
  <c r="B36" i="21"/>
  <c r="B38" i="21"/>
  <c r="B40" i="21"/>
  <c r="C44" i="22"/>
  <c r="C38" i="22"/>
  <c r="C50" i="22"/>
  <c r="C56" i="22"/>
  <c r="C62" i="22"/>
  <c r="C66" i="22"/>
  <c r="B42" i="21"/>
  <c r="C86" i="22"/>
  <c r="B43" i="21"/>
  <c r="B45" i="21"/>
  <c r="E36" i="61"/>
  <c r="E37" i="61"/>
  <c r="E34" i="61"/>
  <c r="E38" i="61"/>
  <c r="E35" i="61"/>
  <c r="E39" i="61"/>
  <c r="E41" i="61"/>
  <c r="E16" i="61"/>
  <c r="E18" i="61"/>
  <c r="E21" i="61"/>
  <c r="E42" i="61"/>
  <c r="E44" i="61"/>
  <c r="E49" i="61"/>
  <c r="E50" i="61"/>
  <c r="E52" i="61"/>
  <c r="E47" i="61"/>
  <c r="E51" i="61"/>
  <c r="E48" i="61"/>
  <c r="E54" i="61"/>
  <c r="E55" i="61"/>
  <c r="C11" i="68"/>
  <c r="C27" i="68"/>
  <c r="C28" i="68"/>
  <c r="C26" i="68"/>
  <c r="B47" i="21"/>
  <c r="B49" i="21"/>
  <c r="B95" i="22"/>
  <c r="B96" i="22"/>
  <c r="K66" i="22"/>
  <c r="B97" i="22"/>
  <c r="B98" i="22"/>
  <c r="B99" i="22"/>
  <c r="B50" i="21"/>
  <c r="B51" i="21"/>
  <c r="C109" i="29"/>
  <c r="C113" i="29"/>
  <c r="C25" i="68"/>
  <c r="C115" i="29"/>
  <c r="C117" i="29"/>
  <c r="D109" i="29"/>
  <c r="D113" i="29"/>
  <c r="D25" i="68"/>
  <c r="D115" i="29"/>
  <c r="D117" i="29"/>
  <c r="C119" i="29"/>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F81" i="23"/>
  <c r="E81" i="23"/>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F93" i="23"/>
  <c r="E93" i="23"/>
  <c r="G93" i="23"/>
  <c r="D94" i="23"/>
  <c r="E94" i="23"/>
  <c r="L14" i="72"/>
  <c r="G63" i="72"/>
  <c r="G65" i="72"/>
  <c r="G96" i="72"/>
  <c r="G98" i="72"/>
  <c r="G78" i="72"/>
  <c r="G80" i="72"/>
  <c r="G72" i="72"/>
  <c r="I150" i="72"/>
  <c r="J10" i="57"/>
  <c r="J9" i="57"/>
  <c r="B42" i="81"/>
  <c r="C42" i="81"/>
  <c r="D42" i="81"/>
  <c r="E42" i="81"/>
  <c r="F42" i="81"/>
  <c r="F11" i="55"/>
  <c r="F63" i="55"/>
  <c r="F68" i="55"/>
  <c r="B43" i="81"/>
  <c r="C43" i="81"/>
  <c r="D43" i="81"/>
  <c r="E43" i="81"/>
  <c r="F43" i="81"/>
  <c r="F12" i="55"/>
  <c r="F69" i="55"/>
  <c r="B44" i="81"/>
  <c r="C44" i="81"/>
  <c r="D44" i="81"/>
  <c r="E44" i="81"/>
  <c r="F44" i="81"/>
  <c r="F13" i="55"/>
  <c r="F70" i="55"/>
  <c r="B45" i="81"/>
  <c r="C45" i="81"/>
  <c r="D45" i="81"/>
  <c r="E45" i="81"/>
  <c r="F45" i="81"/>
  <c r="F14" i="55"/>
  <c r="F71" i="55"/>
  <c r="B46" i="81"/>
  <c r="C46" i="81"/>
  <c r="D46" i="81"/>
  <c r="E46" i="81"/>
  <c r="F46" i="81"/>
  <c r="F15" i="55"/>
  <c r="F72" i="55"/>
  <c r="B47" i="81"/>
  <c r="C47" i="81"/>
  <c r="D47" i="81"/>
  <c r="E47" i="81"/>
  <c r="F47" i="81"/>
  <c r="F16" i="55"/>
  <c r="F73" i="55"/>
  <c r="B48" i="81"/>
  <c r="C48" i="81"/>
  <c r="D48" i="81"/>
  <c r="E48" i="81"/>
  <c r="F48" i="81"/>
  <c r="F17" i="55"/>
  <c r="F74" i="55"/>
  <c r="B49" i="81"/>
  <c r="C49" i="81"/>
  <c r="D49" i="81"/>
  <c r="E49" i="81"/>
  <c r="F49" i="81"/>
  <c r="F18" i="55"/>
  <c r="F75" i="55"/>
  <c r="B50" i="81"/>
  <c r="C50" i="81"/>
  <c r="D50" i="81"/>
  <c r="E50" i="81"/>
  <c r="F50" i="81"/>
  <c r="F19" i="55"/>
  <c r="F76" i="55"/>
  <c r="B51" i="81"/>
  <c r="C51" i="81"/>
  <c r="D51" i="81"/>
  <c r="E51" i="81"/>
  <c r="F51" i="81"/>
  <c r="F20" i="55"/>
  <c r="F77" i="55"/>
  <c r="B52" i="81"/>
  <c r="C52" i="81"/>
  <c r="D52" i="81"/>
  <c r="E52" i="81"/>
  <c r="F52" i="81"/>
  <c r="F21" i="55"/>
  <c r="F78" i="55"/>
  <c r="B53" i="81"/>
  <c r="C53" i="81"/>
  <c r="D53" i="81"/>
  <c r="E53" i="81"/>
  <c r="F53" i="81"/>
  <c r="F22" i="55"/>
  <c r="F79" i="55"/>
  <c r="B54" i="81"/>
  <c r="C54" i="81"/>
  <c r="D54" i="81"/>
  <c r="E54" i="81"/>
  <c r="F54" i="81"/>
  <c r="F23" i="55"/>
  <c r="F80" i="55"/>
  <c r="B55" i="81"/>
  <c r="C55" i="81"/>
  <c r="D55" i="81"/>
  <c r="E55" i="81"/>
  <c r="F55" i="81"/>
  <c r="F24" i="55"/>
  <c r="F81" i="55"/>
  <c r="D29" i="81"/>
  <c r="F29" i="81"/>
  <c r="H29" i="81"/>
  <c r="B56" i="81"/>
  <c r="C56" i="81"/>
  <c r="D56" i="81"/>
  <c r="E56" i="81"/>
  <c r="F56" i="81"/>
  <c r="F25" i="55"/>
  <c r="F82" i="55"/>
  <c r="B57" i="81"/>
  <c r="C57" i="81"/>
  <c r="D57" i="81"/>
  <c r="E57" i="81"/>
  <c r="F57" i="81"/>
  <c r="F26" i="55"/>
  <c r="F83" i="55"/>
  <c r="B58" i="81"/>
  <c r="C58" i="81"/>
  <c r="D58" i="81"/>
  <c r="E58" i="81"/>
  <c r="F58" i="81"/>
  <c r="F27" i="55"/>
  <c r="F84" i="55"/>
  <c r="B59" i="81"/>
  <c r="C59" i="81"/>
  <c r="D59" i="81"/>
  <c r="E59" i="81"/>
  <c r="F59" i="81"/>
  <c r="F28" i="55"/>
  <c r="F85" i="55"/>
  <c r="B60" i="81"/>
  <c r="C60" i="81"/>
  <c r="D60" i="81"/>
  <c r="E60" i="81"/>
  <c r="F60" i="81"/>
  <c r="F29" i="55"/>
  <c r="F86" i="55"/>
  <c r="D35" i="81"/>
  <c r="F35" i="81"/>
  <c r="H35" i="81"/>
  <c r="B61" i="81"/>
  <c r="C61" i="81"/>
  <c r="D61" i="81"/>
  <c r="E61" i="81"/>
  <c r="F61" i="81"/>
  <c r="F30" i="55"/>
  <c r="F87" i="55"/>
  <c r="F36" i="81"/>
  <c r="H36" i="81"/>
  <c r="B62" i="81"/>
  <c r="C62" i="81"/>
  <c r="D62" i="81"/>
  <c r="E62" i="81"/>
  <c r="F62" i="81"/>
  <c r="F31" i="55"/>
  <c r="F88" i="55"/>
  <c r="F32" i="55"/>
  <c r="F33" i="55"/>
  <c r="F10" i="55"/>
  <c r="F120" i="55"/>
  <c r="F121" i="55"/>
  <c r="F122" i="55"/>
  <c r="F123" i="55"/>
  <c r="F124" i="55"/>
  <c r="F125" i="55"/>
  <c r="F126" i="55"/>
  <c r="F127" i="55"/>
  <c r="F128" i="55"/>
  <c r="F129" i="55"/>
  <c r="F130" i="55"/>
  <c r="F131" i="55"/>
  <c r="F132" i="55"/>
  <c r="F133" i="55"/>
  <c r="F134" i="55"/>
  <c r="F135" i="55"/>
  <c r="F136" i="55"/>
  <c r="F137" i="55"/>
  <c r="F138" i="55"/>
  <c r="F139" i="55"/>
  <c r="F140" i="55"/>
  <c r="F89" i="55"/>
  <c r="F141" i="55"/>
  <c r="E11" i="55"/>
  <c r="E63" i="55"/>
  <c r="E68" i="55"/>
  <c r="E12" i="55"/>
  <c r="E69" i="55"/>
  <c r="E13" i="55"/>
  <c r="E70" i="55"/>
  <c r="E14" i="55"/>
  <c r="E71" i="55"/>
  <c r="E15" i="55"/>
  <c r="E72" i="55"/>
  <c r="E16" i="55"/>
  <c r="E73" i="55"/>
  <c r="E17" i="55"/>
  <c r="E74" i="55"/>
  <c r="E18" i="55"/>
  <c r="E75" i="55"/>
  <c r="E19" i="55"/>
  <c r="E76" i="55"/>
  <c r="E20" i="55"/>
  <c r="E77" i="55"/>
  <c r="E21" i="55"/>
  <c r="E78" i="55"/>
  <c r="E22" i="55"/>
  <c r="E79" i="55"/>
  <c r="E23" i="55"/>
  <c r="E80" i="55"/>
  <c r="E24" i="55"/>
  <c r="E81" i="55"/>
  <c r="E25" i="55"/>
  <c r="E82" i="55"/>
  <c r="E26" i="55"/>
  <c r="E83" i="55"/>
  <c r="E27" i="55"/>
  <c r="E84" i="55"/>
  <c r="E28" i="55"/>
  <c r="E85" i="55"/>
  <c r="E29" i="55"/>
  <c r="E86" i="55"/>
  <c r="E30" i="55"/>
  <c r="E87" i="55"/>
  <c r="E31" i="55"/>
  <c r="E88" i="55"/>
  <c r="E32" i="55"/>
  <c r="E33" i="55"/>
  <c r="E10" i="55"/>
  <c r="E120" i="55"/>
  <c r="E121" i="55"/>
  <c r="E122" i="55"/>
  <c r="E123" i="55"/>
  <c r="E124" i="55"/>
  <c r="E125" i="55"/>
  <c r="E126" i="55"/>
  <c r="E127" i="55"/>
  <c r="E128" i="55"/>
  <c r="E129" i="55"/>
  <c r="E130" i="55"/>
  <c r="E131" i="55"/>
  <c r="E132" i="55"/>
  <c r="E133" i="55"/>
  <c r="E134" i="55"/>
  <c r="E135" i="55"/>
  <c r="E136" i="55"/>
  <c r="E137" i="55"/>
  <c r="E138" i="55"/>
  <c r="E139" i="55"/>
  <c r="E140" i="55"/>
  <c r="E89" i="55"/>
  <c r="E141" i="55"/>
  <c r="I7" i="61"/>
  <c r="E172" i="55"/>
  <c r="F172" i="55"/>
  <c r="G172" i="55"/>
  <c r="H172" i="55"/>
  <c r="H178" i="55"/>
  <c r="H179" i="55"/>
  <c r="H180" i="55"/>
  <c r="H181" i="55"/>
  <c r="H182" i="55"/>
  <c r="H183" i="55"/>
  <c r="H184" i="55"/>
  <c r="H185" i="55"/>
  <c r="H186" i="55"/>
  <c r="H187" i="55"/>
  <c r="F65" i="55"/>
  <c r="L39" i="57"/>
  <c r="K35" i="57"/>
  <c r="L36" i="57"/>
  <c r="M36" i="57"/>
  <c r="G80" i="29"/>
  <c r="G74" i="72"/>
  <c r="I147" i="72"/>
  <c r="J34" i="57"/>
  <c r="K34" i="57"/>
  <c r="J37" i="57"/>
  <c r="J38" i="57"/>
  <c r="K22" i="57"/>
  <c r="G42" i="57"/>
  <c r="G43" i="57"/>
  <c r="G44" i="57"/>
  <c r="G28" i="57"/>
  <c r="G29" i="57"/>
  <c r="G30" i="57"/>
  <c r="G31" i="57"/>
  <c r="J8" i="57"/>
  <c r="J16" i="57"/>
  <c r="K146" i="72"/>
  <c r="G93" i="72"/>
  <c r="I146" i="72"/>
  <c r="H94" i="72"/>
  <c r="G94" i="72"/>
  <c r="F94" i="72"/>
  <c r="E94" i="72"/>
  <c r="D94" i="72"/>
  <c r="C94" i="72"/>
  <c r="B94" i="72"/>
  <c r="A27" i="72"/>
  <c r="M14" i="57"/>
  <c r="M15" i="57"/>
  <c r="M16" i="57"/>
  <c r="M144" i="72"/>
  <c r="M6" i="57"/>
  <c r="L6" i="57"/>
  <c r="J6" i="57"/>
  <c r="J28" i="48"/>
  <c r="J29" i="48"/>
  <c r="J30" i="48"/>
  <c r="J31" i="48"/>
  <c r="J32" i="48"/>
  <c r="J33" i="48"/>
  <c r="J34" i="48"/>
  <c r="J35" i="48"/>
  <c r="J36" i="48"/>
  <c r="J37" i="48"/>
  <c r="J38" i="48"/>
  <c r="J39" i="48"/>
  <c r="G11" i="21"/>
  <c r="I130" i="53"/>
  <c r="I131" i="53"/>
  <c r="I132" i="53"/>
  <c r="I133" i="53"/>
  <c r="I134" i="53"/>
  <c r="I135" i="53"/>
  <c r="I136" i="53"/>
  <c r="I137" i="53"/>
  <c r="I139" i="53"/>
  <c r="I140" i="53"/>
  <c r="I141" i="53"/>
  <c r="I142" i="53"/>
  <c r="I143" i="53"/>
  <c r="I144" i="53"/>
  <c r="I145" i="53"/>
  <c r="I146" i="53"/>
  <c r="I148" i="53"/>
  <c r="I149" i="53"/>
  <c r="I150" i="53"/>
  <c r="I151" i="53"/>
  <c r="I182" i="53"/>
  <c r="I183" i="53"/>
  <c r="I184" i="53"/>
  <c r="I187" i="53"/>
  <c r="I188"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91" i="53"/>
  <c r="G12" i="21"/>
  <c r="G46" i="81"/>
  <c r="G15" i="55"/>
  <c r="G63" i="55"/>
  <c r="G72" i="55"/>
  <c r="G124" i="55"/>
  <c r="I172" i="55"/>
  <c r="I182" i="55"/>
  <c r="G51" i="81"/>
  <c r="G20" i="55"/>
  <c r="G77" i="55"/>
  <c r="G129" i="55"/>
  <c r="I187" i="55"/>
  <c r="G52" i="81"/>
  <c r="G21" i="55"/>
  <c r="G78" i="55"/>
  <c r="G130" i="55"/>
  <c r="G42" i="81"/>
  <c r="G11" i="55"/>
  <c r="G68" i="55"/>
  <c r="G120" i="55"/>
  <c r="I178" i="55"/>
  <c r="G43" i="81"/>
  <c r="G12" i="55"/>
  <c r="G69" i="55"/>
  <c r="G121" i="55"/>
  <c r="I179" i="55"/>
  <c r="G44" i="81"/>
  <c r="G13" i="55"/>
  <c r="G70" i="55"/>
  <c r="G122" i="55"/>
  <c r="I180" i="55"/>
  <c r="G45" i="81"/>
  <c r="G14" i="55"/>
  <c r="G71" i="55"/>
  <c r="G123" i="55"/>
  <c r="I181" i="55"/>
  <c r="G47" i="81"/>
  <c r="G16" i="55"/>
  <c r="G73" i="55"/>
  <c r="G125" i="55"/>
  <c r="I183" i="55"/>
  <c r="G48" i="81"/>
  <c r="G17" i="55"/>
  <c r="G74" i="55"/>
  <c r="G126" i="55"/>
  <c r="I184" i="55"/>
  <c r="G49" i="81"/>
  <c r="G18" i="55"/>
  <c r="G75" i="55"/>
  <c r="G127" i="55"/>
  <c r="I185" i="55"/>
  <c r="G50" i="81"/>
  <c r="G19" i="55"/>
  <c r="G76" i="55"/>
  <c r="G128" i="55"/>
  <c r="I186" i="55"/>
  <c r="G53" i="81"/>
  <c r="G22" i="55"/>
  <c r="G79" i="55"/>
  <c r="G131" i="55"/>
  <c r="G54" i="81"/>
  <c r="G23" i="55"/>
  <c r="G80" i="55"/>
  <c r="G132" i="55"/>
  <c r="G55" i="81"/>
  <c r="G24" i="55"/>
  <c r="G81" i="55"/>
  <c r="G133" i="55"/>
  <c r="G56" i="81"/>
  <c r="G25" i="55"/>
  <c r="G82" i="55"/>
  <c r="G134" i="55"/>
  <c r="G57" i="81"/>
  <c r="G26" i="55"/>
  <c r="G83" i="55"/>
  <c r="G135" i="55"/>
  <c r="G58" i="81"/>
  <c r="G27" i="55"/>
  <c r="G84" i="55"/>
  <c r="G136" i="55"/>
  <c r="G59" i="81"/>
  <c r="G28" i="55"/>
  <c r="G85" i="55"/>
  <c r="G137" i="55"/>
  <c r="G60" i="81"/>
  <c r="G29" i="55"/>
  <c r="G86" i="55"/>
  <c r="G138" i="55"/>
  <c r="G61" i="81"/>
  <c r="G30" i="55"/>
  <c r="G87" i="55"/>
  <c r="G139" i="55"/>
  <c r="G62" i="81"/>
  <c r="G31" i="55"/>
  <c r="G88" i="55"/>
  <c r="G140" i="55"/>
  <c r="G32" i="55"/>
  <c r="G89" i="55"/>
  <c r="G141" i="55"/>
  <c r="G33" i="55"/>
  <c r="G65" i="55"/>
  <c r="B46" i="83"/>
  <c r="C44" i="83"/>
  <c r="C46" i="83"/>
  <c r="D44" i="83"/>
  <c r="D46" i="83"/>
  <c r="E44" i="83"/>
  <c r="E46" i="83"/>
  <c r="F44" i="83"/>
  <c r="F46" i="83"/>
  <c r="G44" i="83"/>
  <c r="G46" i="83"/>
  <c r="G35" i="55"/>
  <c r="G92" i="55"/>
  <c r="G144" i="55"/>
  <c r="F35" i="55"/>
  <c r="F92" i="55"/>
  <c r="F144" i="55"/>
  <c r="B47" i="83"/>
  <c r="C47" i="83"/>
  <c r="D47" i="83"/>
  <c r="E47" i="83"/>
  <c r="F47" i="83"/>
  <c r="G47" i="83"/>
  <c r="G36" i="55"/>
  <c r="G93" i="55"/>
  <c r="G145" i="55"/>
  <c r="F36" i="55"/>
  <c r="F93" i="55"/>
  <c r="F145" i="55"/>
  <c r="B48" i="83"/>
  <c r="C48" i="83"/>
  <c r="D48" i="83"/>
  <c r="E48" i="83"/>
  <c r="F48" i="83"/>
  <c r="G48" i="83"/>
  <c r="G37" i="55"/>
  <c r="G94" i="55"/>
  <c r="G146" i="55"/>
  <c r="F37" i="55"/>
  <c r="F94" i="55"/>
  <c r="F146" i="55"/>
  <c r="B49" i="83"/>
  <c r="C49" i="83"/>
  <c r="D49" i="83"/>
  <c r="E49" i="83"/>
  <c r="F49" i="83"/>
  <c r="G49" i="83"/>
  <c r="G38" i="55"/>
  <c r="G95" i="55"/>
  <c r="G147" i="55"/>
  <c r="F38" i="55"/>
  <c r="F95" i="55"/>
  <c r="F147" i="55"/>
  <c r="B50" i="83"/>
  <c r="C50" i="83"/>
  <c r="D50" i="83"/>
  <c r="E50" i="83"/>
  <c r="F50" i="83"/>
  <c r="G50" i="83"/>
  <c r="G39" i="55"/>
  <c r="G96" i="55"/>
  <c r="G148" i="55"/>
  <c r="F39" i="55"/>
  <c r="F96" i="55"/>
  <c r="F148" i="55"/>
  <c r="B51" i="83"/>
  <c r="C51" i="83"/>
  <c r="D51" i="83"/>
  <c r="E51" i="83"/>
  <c r="F51" i="83"/>
  <c r="G51" i="83"/>
  <c r="G40" i="55"/>
  <c r="G97" i="55"/>
  <c r="G149" i="55"/>
  <c r="F40" i="55"/>
  <c r="F97" i="55"/>
  <c r="F149" i="55"/>
  <c r="B52" i="83"/>
  <c r="C52" i="83"/>
  <c r="D52" i="83"/>
  <c r="E52" i="83"/>
  <c r="F52" i="83"/>
  <c r="G52" i="83"/>
  <c r="G41" i="55"/>
  <c r="G98" i="55"/>
  <c r="G150" i="55"/>
  <c r="F41" i="55"/>
  <c r="F98" i="55"/>
  <c r="F150" i="55"/>
  <c r="B53" i="83"/>
  <c r="C53" i="83"/>
  <c r="D53" i="83"/>
  <c r="E53" i="83"/>
  <c r="F53" i="83"/>
  <c r="G53" i="83"/>
  <c r="G42" i="55"/>
  <c r="G99" i="55"/>
  <c r="G151" i="55"/>
  <c r="F42" i="55"/>
  <c r="F99" i="55"/>
  <c r="F151" i="55"/>
  <c r="B54" i="83"/>
  <c r="C54" i="83"/>
  <c r="D54" i="83"/>
  <c r="E54" i="83"/>
  <c r="F54" i="83"/>
  <c r="G54" i="83"/>
  <c r="G43" i="55"/>
  <c r="G100" i="55"/>
  <c r="G152" i="55"/>
  <c r="F43" i="55"/>
  <c r="F100" i="55"/>
  <c r="F152" i="55"/>
  <c r="B55" i="83"/>
  <c r="C55" i="83"/>
  <c r="D55" i="83"/>
  <c r="E55" i="83"/>
  <c r="F55" i="83"/>
  <c r="G55" i="83"/>
  <c r="G44" i="55"/>
  <c r="G101" i="55"/>
  <c r="G153" i="55"/>
  <c r="F44" i="55"/>
  <c r="F101" i="55"/>
  <c r="F153" i="55"/>
  <c r="B56" i="83"/>
  <c r="C56" i="83"/>
  <c r="D56" i="83"/>
  <c r="E56" i="83"/>
  <c r="F56" i="83"/>
  <c r="G56" i="83"/>
  <c r="G45" i="55"/>
  <c r="G102" i="55"/>
  <c r="G154" i="55"/>
  <c r="F45" i="55"/>
  <c r="F102" i="55"/>
  <c r="F154" i="55"/>
  <c r="B57" i="83"/>
  <c r="C57" i="83"/>
  <c r="D57" i="83"/>
  <c r="E57" i="83"/>
  <c r="F57" i="83"/>
  <c r="G57" i="83"/>
  <c r="G46" i="55"/>
  <c r="G103" i="55"/>
  <c r="G155" i="55"/>
  <c r="F46" i="55"/>
  <c r="F103" i="55"/>
  <c r="F155" i="55"/>
  <c r="B58" i="83"/>
  <c r="C58" i="83"/>
  <c r="D58" i="83"/>
  <c r="E58" i="83"/>
  <c r="F58" i="83"/>
  <c r="G58" i="83"/>
  <c r="G47" i="55"/>
  <c r="G104" i="55"/>
  <c r="G156" i="55"/>
  <c r="F47" i="55"/>
  <c r="F104" i="55"/>
  <c r="F156" i="55"/>
  <c r="B59" i="83"/>
  <c r="C59" i="83"/>
  <c r="D59" i="83"/>
  <c r="E59" i="83"/>
  <c r="F59" i="83"/>
  <c r="G59" i="83"/>
  <c r="G48" i="55"/>
  <c r="G105" i="55"/>
  <c r="G157" i="55"/>
  <c r="F48" i="55"/>
  <c r="F105" i="55"/>
  <c r="F157" i="55"/>
  <c r="B60" i="83"/>
  <c r="C60" i="83"/>
  <c r="D60" i="83"/>
  <c r="E60" i="83"/>
  <c r="F60" i="83"/>
  <c r="G60" i="83"/>
  <c r="G49" i="55"/>
  <c r="G106" i="55"/>
  <c r="G158" i="55"/>
  <c r="F49" i="55"/>
  <c r="F106" i="55"/>
  <c r="F158" i="55"/>
  <c r="B61" i="83"/>
  <c r="C61" i="83"/>
  <c r="D61" i="83"/>
  <c r="E61" i="83"/>
  <c r="F61" i="83"/>
  <c r="G61" i="83"/>
  <c r="G50" i="55"/>
  <c r="G107" i="55"/>
  <c r="G159" i="55"/>
  <c r="F50" i="55"/>
  <c r="F107" i="55"/>
  <c r="F159" i="55"/>
  <c r="B62" i="83"/>
  <c r="C62" i="83"/>
  <c r="D62" i="83"/>
  <c r="E62" i="83"/>
  <c r="F62" i="83"/>
  <c r="G62" i="83"/>
  <c r="G51" i="55"/>
  <c r="G108" i="55"/>
  <c r="G160" i="55"/>
  <c r="F51" i="55"/>
  <c r="F108" i="55"/>
  <c r="F160" i="55"/>
  <c r="B63" i="83"/>
  <c r="C63" i="83"/>
  <c r="D63" i="83"/>
  <c r="E63" i="83"/>
  <c r="F63" i="83"/>
  <c r="G63" i="83"/>
  <c r="G52" i="55"/>
  <c r="G109" i="55"/>
  <c r="G161" i="55"/>
  <c r="F52" i="55"/>
  <c r="F109" i="55"/>
  <c r="F161" i="55"/>
  <c r="G162" i="55"/>
  <c r="F162" i="55"/>
  <c r="G163" i="55"/>
  <c r="F163" i="55"/>
  <c r="G164" i="55"/>
  <c r="F164" i="55"/>
  <c r="B67" i="83"/>
  <c r="C67" i="83"/>
  <c r="D67" i="83"/>
  <c r="E67" i="83"/>
  <c r="F67" i="83"/>
  <c r="G67" i="83"/>
  <c r="G56" i="55"/>
  <c r="G113" i="55"/>
  <c r="G165" i="55"/>
  <c r="F56" i="55"/>
  <c r="F113" i="55"/>
  <c r="F165" i="55"/>
  <c r="B68" i="83"/>
  <c r="C68" i="83"/>
  <c r="D68" i="83"/>
  <c r="E68" i="83"/>
  <c r="F68" i="83"/>
  <c r="G68" i="83"/>
  <c r="G57" i="55"/>
  <c r="G114" i="55"/>
  <c r="G166" i="55"/>
  <c r="F57" i="55"/>
  <c r="F114" i="55"/>
  <c r="F166" i="55"/>
  <c r="B69" i="83"/>
  <c r="C69" i="83"/>
  <c r="D69" i="83"/>
  <c r="E69" i="83"/>
  <c r="F69" i="83"/>
  <c r="G69" i="83"/>
  <c r="G58" i="55"/>
  <c r="G115" i="55"/>
  <c r="G167" i="55"/>
  <c r="F58" i="55"/>
  <c r="F115" i="55"/>
  <c r="F167" i="55"/>
  <c r="B70" i="83"/>
  <c r="C70" i="83"/>
  <c r="D70" i="83"/>
  <c r="E70" i="83"/>
  <c r="F70" i="83"/>
  <c r="G70" i="83"/>
  <c r="G59" i="55"/>
  <c r="G116" i="55"/>
  <c r="G168" i="55"/>
  <c r="F59" i="55"/>
  <c r="F116" i="55"/>
  <c r="F168" i="55"/>
  <c r="I141" i="72"/>
  <c r="I142" i="72"/>
  <c r="I143" i="72"/>
  <c r="I144" i="72"/>
  <c r="B81" i="81"/>
  <c r="C81" i="81"/>
  <c r="D81" i="81"/>
  <c r="E81" i="81"/>
  <c r="F81" i="81"/>
  <c r="G81" i="81"/>
  <c r="I152" i="72"/>
  <c r="I154" i="72"/>
  <c r="G9" i="21"/>
  <c r="G10" i="42"/>
  <c r="I21" i="42"/>
  <c r="I23" i="42"/>
  <c r="G10" i="21"/>
  <c r="I154" i="84"/>
  <c r="I155" i="84"/>
  <c r="I156" i="84"/>
  <c r="I159" i="84"/>
  <c r="G13" i="21"/>
  <c r="G15" i="21"/>
  <c r="J43" i="48"/>
  <c r="J44" i="48"/>
  <c r="J49" i="48"/>
  <c r="G21" i="21"/>
  <c r="I253" i="53"/>
  <c r="I254" i="53"/>
  <c r="J6" i="61"/>
  <c r="I259" i="53"/>
  <c r="I260" i="53"/>
  <c r="I262" i="53"/>
  <c r="G22" i="21"/>
  <c r="H39" i="57"/>
  <c r="J7" i="61"/>
  <c r="G10" i="55"/>
  <c r="J16" i="61"/>
  <c r="I29" i="42"/>
  <c r="I27" i="42"/>
  <c r="I28" i="42"/>
  <c r="I34" i="42"/>
  <c r="G20" i="21"/>
  <c r="H31" i="57"/>
  <c r="J8" i="61"/>
  <c r="I174" i="72"/>
  <c r="I175" i="72"/>
  <c r="I169" i="72"/>
  <c r="I177" i="72"/>
  <c r="G19" i="21"/>
  <c r="M14" i="83"/>
  <c r="G74" i="83"/>
  <c r="G13" i="84"/>
  <c r="G14" i="84"/>
  <c r="G15" i="84"/>
  <c r="G16" i="84"/>
  <c r="G17" i="84"/>
  <c r="G18" i="84"/>
  <c r="G19" i="84"/>
  <c r="G20" i="84"/>
  <c r="G21" i="84"/>
  <c r="G22" i="84"/>
  <c r="G23" i="84"/>
  <c r="G24" i="84"/>
  <c r="G25" i="84"/>
  <c r="G26" i="84"/>
  <c r="G27" i="84"/>
  <c r="G28" i="84"/>
  <c r="G29" i="84"/>
  <c r="G30" i="84"/>
  <c r="G92" i="83"/>
  <c r="G31" i="84"/>
  <c r="G93" i="83"/>
  <c r="G32" i="84"/>
  <c r="G94" i="83"/>
  <c r="G33" i="84"/>
  <c r="G35" i="84"/>
  <c r="G36" i="84"/>
  <c r="G37" i="84"/>
  <c r="G39" i="84"/>
  <c r="G12" i="84"/>
  <c r="I166" i="84"/>
  <c r="I163" i="84"/>
  <c r="I164" i="84"/>
  <c r="I165" i="84"/>
  <c r="I167" i="84"/>
  <c r="I168" i="84"/>
  <c r="I169" i="84"/>
  <c r="I177" i="84"/>
  <c r="G23" i="21"/>
  <c r="G25" i="21"/>
  <c r="J52" i="48"/>
  <c r="J56" i="48"/>
  <c r="G31" i="21"/>
  <c r="I265" i="53"/>
  <c r="I266" i="53"/>
  <c r="I267" i="53"/>
  <c r="I268" i="53"/>
  <c r="I273" i="53"/>
  <c r="G32" i="21"/>
  <c r="G28" i="21"/>
  <c r="J4" i="22"/>
  <c r="J8" i="22"/>
  <c r="J9" i="22"/>
  <c r="J10" i="22"/>
  <c r="J11" i="22"/>
  <c r="J12" i="22"/>
  <c r="J13" i="22"/>
  <c r="J14" i="22"/>
  <c r="J15" i="22"/>
  <c r="J16" i="22"/>
  <c r="J17" i="22"/>
  <c r="J18" i="22"/>
  <c r="J19" i="22"/>
  <c r="J20" i="22"/>
  <c r="J21" i="22"/>
  <c r="J22" i="22"/>
  <c r="J23" i="22"/>
  <c r="G35" i="21"/>
  <c r="I180" i="72"/>
  <c r="I185" i="72"/>
  <c r="G29" i="21"/>
  <c r="I37" i="42"/>
  <c r="I43" i="42"/>
  <c r="G30" i="21"/>
  <c r="I180" i="84"/>
  <c r="I181" i="84"/>
  <c r="I185" i="84"/>
  <c r="G33" i="21"/>
  <c r="G36" i="21"/>
  <c r="G38" i="21"/>
  <c r="G40" i="21"/>
  <c r="G45" i="57"/>
  <c r="H44" i="22"/>
  <c r="H50" i="22"/>
  <c r="H38" i="22"/>
  <c r="H56" i="22"/>
  <c r="H62" i="22"/>
  <c r="H66" i="22"/>
  <c r="G42" i="21"/>
  <c r="G43" i="21"/>
  <c r="G45" i="21"/>
  <c r="J35" i="61"/>
  <c r="J34" i="61"/>
  <c r="J36" i="61"/>
  <c r="J37" i="61"/>
  <c r="J38" i="61"/>
  <c r="J39" i="61"/>
  <c r="J41" i="61"/>
  <c r="J18" i="61"/>
  <c r="J21" i="61"/>
  <c r="J42" i="61"/>
  <c r="J44" i="61"/>
  <c r="J48" i="61"/>
  <c r="J47" i="61"/>
  <c r="J49" i="61"/>
  <c r="J51" i="61"/>
  <c r="J50" i="61"/>
  <c r="J52" i="61"/>
  <c r="J54" i="61"/>
  <c r="J55" i="61"/>
  <c r="H11" i="68"/>
  <c r="H27" i="68"/>
  <c r="H28" i="68"/>
  <c r="H26" i="68"/>
  <c r="G47" i="21"/>
  <c r="G49" i="21"/>
  <c r="G95" i="22"/>
  <c r="G96" i="22"/>
  <c r="O46" i="22"/>
  <c r="P43" i="22"/>
  <c r="P44" i="22"/>
  <c r="O52" i="22"/>
  <c r="P49" i="22"/>
  <c r="P50" i="22"/>
  <c r="O40" i="22"/>
  <c r="P37" i="22"/>
  <c r="P38" i="22"/>
  <c r="O58" i="22"/>
  <c r="P55" i="22"/>
  <c r="P56" i="22"/>
  <c r="O64" i="22"/>
  <c r="P61" i="22"/>
  <c r="P62" i="22"/>
  <c r="P66" i="22"/>
  <c r="G97" i="22"/>
  <c r="G98" i="22"/>
  <c r="G99" i="22"/>
  <c r="G50" i="21"/>
  <c r="G51" i="21"/>
  <c r="H109" i="29"/>
  <c r="H113" i="29"/>
  <c r="H46" i="81"/>
  <c r="H15" i="55"/>
  <c r="H63" i="55"/>
  <c r="H72" i="55"/>
  <c r="H124" i="55"/>
  <c r="J172" i="55"/>
  <c r="J182" i="55"/>
  <c r="H51" i="81"/>
  <c r="H20" i="55"/>
  <c r="H77" i="55"/>
  <c r="H129" i="55"/>
  <c r="J187" i="55"/>
  <c r="H52" i="81"/>
  <c r="H21" i="55"/>
  <c r="H78" i="55"/>
  <c r="H130" i="55"/>
  <c r="H42" i="81"/>
  <c r="H11" i="55"/>
  <c r="H68" i="55"/>
  <c r="H120" i="55"/>
  <c r="J178" i="55"/>
  <c r="H43" i="81"/>
  <c r="H12" i="55"/>
  <c r="H69" i="55"/>
  <c r="H121" i="55"/>
  <c r="J179" i="55"/>
  <c r="H44" i="81"/>
  <c r="H13" i="55"/>
  <c r="H70" i="55"/>
  <c r="H122" i="55"/>
  <c r="J180" i="55"/>
  <c r="H45" i="81"/>
  <c r="H14" i="55"/>
  <c r="H71" i="55"/>
  <c r="H123" i="55"/>
  <c r="J181" i="55"/>
  <c r="H47" i="81"/>
  <c r="H16" i="55"/>
  <c r="H73" i="55"/>
  <c r="H125" i="55"/>
  <c r="J183" i="55"/>
  <c r="H48" i="81"/>
  <c r="H17" i="55"/>
  <c r="H74" i="55"/>
  <c r="H126" i="55"/>
  <c r="J184" i="55"/>
  <c r="H49" i="81"/>
  <c r="H18" i="55"/>
  <c r="H75" i="55"/>
  <c r="H127" i="55"/>
  <c r="J185" i="55"/>
  <c r="H50" i="81"/>
  <c r="H19" i="55"/>
  <c r="H76" i="55"/>
  <c r="H128" i="55"/>
  <c r="J186" i="55"/>
  <c r="H53" i="81"/>
  <c r="H22" i="55"/>
  <c r="H79" i="55"/>
  <c r="H131" i="55"/>
  <c r="H54" i="81"/>
  <c r="H23" i="55"/>
  <c r="H80" i="55"/>
  <c r="H132" i="55"/>
  <c r="H55" i="81"/>
  <c r="H24" i="55"/>
  <c r="H81" i="55"/>
  <c r="H133" i="55"/>
  <c r="H56" i="81"/>
  <c r="H25" i="55"/>
  <c r="H82" i="55"/>
  <c r="H134" i="55"/>
  <c r="H57" i="81"/>
  <c r="H26" i="55"/>
  <c r="H83" i="55"/>
  <c r="H135" i="55"/>
  <c r="H58" i="81"/>
  <c r="H27" i="55"/>
  <c r="H84" i="55"/>
  <c r="H136" i="55"/>
  <c r="H59" i="81"/>
  <c r="H28" i="55"/>
  <c r="H85" i="55"/>
  <c r="H137" i="55"/>
  <c r="H60" i="81"/>
  <c r="H29" i="55"/>
  <c r="H86" i="55"/>
  <c r="H138" i="55"/>
  <c r="H61" i="81"/>
  <c r="H30" i="55"/>
  <c r="H87" i="55"/>
  <c r="H139" i="55"/>
  <c r="H62" i="81"/>
  <c r="H31" i="55"/>
  <c r="H88" i="55"/>
  <c r="H140" i="55"/>
  <c r="H32" i="55"/>
  <c r="H89" i="55"/>
  <c r="H141" i="55"/>
  <c r="H33" i="55"/>
  <c r="H65" i="55"/>
  <c r="H44" i="83"/>
  <c r="H46" i="83"/>
  <c r="H35" i="55"/>
  <c r="H92" i="55"/>
  <c r="H144" i="55"/>
  <c r="H47" i="83"/>
  <c r="H36" i="55"/>
  <c r="H93" i="55"/>
  <c r="H145" i="55"/>
  <c r="H48" i="83"/>
  <c r="H37" i="55"/>
  <c r="H94" i="55"/>
  <c r="H146" i="55"/>
  <c r="H49" i="83"/>
  <c r="H38" i="55"/>
  <c r="H95" i="55"/>
  <c r="H147" i="55"/>
  <c r="H50" i="83"/>
  <c r="H39" i="55"/>
  <c r="H96" i="55"/>
  <c r="H148" i="55"/>
  <c r="H51" i="83"/>
  <c r="H40" i="55"/>
  <c r="H97" i="55"/>
  <c r="H149" i="55"/>
  <c r="H52" i="83"/>
  <c r="H41" i="55"/>
  <c r="H98" i="55"/>
  <c r="H150" i="55"/>
  <c r="H53" i="83"/>
  <c r="H42" i="55"/>
  <c r="H99" i="55"/>
  <c r="H151" i="55"/>
  <c r="H54" i="83"/>
  <c r="H43" i="55"/>
  <c r="H100" i="55"/>
  <c r="H152" i="55"/>
  <c r="H55" i="83"/>
  <c r="H44" i="55"/>
  <c r="H101" i="55"/>
  <c r="H153" i="55"/>
  <c r="H56" i="83"/>
  <c r="H45" i="55"/>
  <c r="H102" i="55"/>
  <c r="H154" i="55"/>
  <c r="H57" i="83"/>
  <c r="H46" i="55"/>
  <c r="H103" i="55"/>
  <c r="H155" i="55"/>
  <c r="H58" i="83"/>
  <c r="H47" i="55"/>
  <c r="H104" i="55"/>
  <c r="H156" i="55"/>
  <c r="H59" i="83"/>
  <c r="H48" i="55"/>
  <c r="H105" i="55"/>
  <c r="H157" i="55"/>
  <c r="H60" i="83"/>
  <c r="H49" i="55"/>
  <c r="H106" i="55"/>
  <c r="H158" i="55"/>
  <c r="H61" i="83"/>
  <c r="H50" i="55"/>
  <c r="H107" i="55"/>
  <c r="H159" i="55"/>
  <c r="H62" i="83"/>
  <c r="H51" i="55"/>
  <c r="H108" i="55"/>
  <c r="H160" i="55"/>
  <c r="H63" i="83"/>
  <c r="H52" i="55"/>
  <c r="H109" i="55"/>
  <c r="H161" i="55"/>
  <c r="H162" i="55"/>
  <c r="H163" i="55"/>
  <c r="H164" i="55"/>
  <c r="H67" i="83"/>
  <c r="H56" i="55"/>
  <c r="H113" i="55"/>
  <c r="H165" i="55"/>
  <c r="H68" i="83"/>
  <c r="H57" i="55"/>
  <c r="H114" i="55"/>
  <c r="H166" i="55"/>
  <c r="H69" i="83"/>
  <c r="H58" i="55"/>
  <c r="H115" i="55"/>
  <c r="H167" i="55"/>
  <c r="H70" i="83"/>
  <c r="H59" i="55"/>
  <c r="H116" i="55"/>
  <c r="H168" i="55"/>
  <c r="H81" i="81"/>
  <c r="K7" i="61"/>
  <c r="H10" i="55"/>
  <c r="K16" i="61"/>
  <c r="K52" i="48"/>
  <c r="K56" i="48"/>
  <c r="H31" i="21"/>
  <c r="J265" i="53"/>
  <c r="J266" i="53"/>
  <c r="J267" i="53"/>
  <c r="J268" i="53"/>
  <c r="J273" i="53"/>
  <c r="H32" i="21"/>
  <c r="H28" i="21"/>
  <c r="K4" i="22"/>
  <c r="K8" i="22"/>
  <c r="K9" i="22"/>
  <c r="K10" i="22"/>
  <c r="K11" i="22"/>
  <c r="K12" i="22"/>
  <c r="K13" i="22"/>
  <c r="K14" i="22"/>
  <c r="K15" i="22"/>
  <c r="K16" i="22"/>
  <c r="K17" i="22"/>
  <c r="K18" i="22"/>
  <c r="K19" i="22"/>
  <c r="K20" i="22"/>
  <c r="K21" i="22"/>
  <c r="K22" i="22"/>
  <c r="K23" i="22"/>
  <c r="H35" i="21"/>
  <c r="J180" i="72"/>
  <c r="J185" i="72"/>
  <c r="H29" i="21"/>
  <c r="J37" i="42"/>
  <c r="J43" i="42"/>
  <c r="H30" i="21"/>
  <c r="J180" i="84"/>
  <c r="J181" i="84"/>
  <c r="J185" i="84"/>
  <c r="H33" i="21"/>
  <c r="H36" i="21"/>
  <c r="H38" i="21"/>
  <c r="H40" i="21"/>
  <c r="I44" i="22"/>
  <c r="I50" i="22"/>
  <c r="I38" i="22"/>
  <c r="I56" i="22"/>
  <c r="I62" i="22"/>
  <c r="I66" i="22"/>
  <c r="H42" i="21"/>
  <c r="H43" i="21"/>
  <c r="H45" i="21"/>
  <c r="K35" i="61"/>
  <c r="K34" i="61"/>
  <c r="K36" i="61"/>
  <c r="K37" i="61"/>
  <c r="K38" i="61"/>
  <c r="K39" i="61"/>
  <c r="K41" i="61"/>
  <c r="K18" i="61"/>
  <c r="K21" i="61"/>
  <c r="K42" i="61"/>
  <c r="K44" i="61"/>
  <c r="K48" i="61"/>
  <c r="K47" i="61"/>
  <c r="K49" i="61"/>
  <c r="K51" i="61"/>
  <c r="K50" i="61"/>
  <c r="K52" i="61"/>
  <c r="K54" i="61"/>
  <c r="K55" i="61"/>
  <c r="I11" i="68"/>
  <c r="I27" i="68"/>
  <c r="I28" i="68"/>
  <c r="I26" i="68"/>
  <c r="H47" i="21"/>
  <c r="H49" i="21"/>
  <c r="H95" i="22"/>
  <c r="H96" i="22"/>
  <c r="P46" i="22"/>
  <c r="Q43" i="22"/>
  <c r="Q44" i="22"/>
  <c r="P52" i="22"/>
  <c r="Q49" i="22"/>
  <c r="Q50" i="22"/>
  <c r="P40" i="22"/>
  <c r="Q37" i="22"/>
  <c r="Q38" i="22"/>
  <c r="P58" i="22"/>
  <c r="Q55" i="22"/>
  <c r="Q56" i="22"/>
  <c r="P64" i="22"/>
  <c r="Q61" i="22"/>
  <c r="Q62" i="22"/>
  <c r="Q66" i="22"/>
  <c r="H97" i="22"/>
  <c r="H98" i="22"/>
  <c r="H99" i="22"/>
  <c r="H50" i="21"/>
  <c r="H51" i="21"/>
  <c r="I109" i="29"/>
  <c r="I113" i="29"/>
  <c r="E35" i="55"/>
  <c r="E92" i="55"/>
  <c r="E144" i="55"/>
  <c r="E36" i="55"/>
  <c r="E93" i="55"/>
  <c r="E145" i="55"/>
  <c r="E37" i="55"/>
  <c r="E94" i="55"/>
  <c r="E146" i="55"/>
  <c r="E38" i="55"/>
  <c r="E95" i="55"/>
  <c r="E147" i="55"/>
  <c r="E39" i="55"/>
  <c r="E96" i="55"/>
  <c r="E148" i="55"/>
  <c r="E40" i="55"/>
  <c r="E97" i="55"/>
  <c r="E149" i="55"/>
  <c r="E41" i="55"/>
  <c r="E98" i="55"/>
  <c r="E150" i="55"/>
  <c r="E42" i="55"/>
  <c r="E99" i="55"/>
  <c r="E151" i="55"/>
  <c r="E43" i="55"/>
  <c r="E100" i="55"/>
  <c r="E152" i="55"/>
  <c r="E44" i="55"/>
  <c r="E101" i="55"/>
  <c r="E153" i="55"/>
  <c r="E45" i="55"/>
  <c r="E102" i="55"/>
  <c r="E154" i="55"/>
  <c r="E46" i="55"/>
  <c r="E103" i="55"/>
  <c r="E155" i="55"/>
  <c r="E47" i="55"/>
  <c r="E104" i="55"/>
  <c r="E156" i="55"/>
  <c r="E48" i="55"/>
  <c r="E105" i="55"/>
  <c r="E157" i="55"/>
  <c r="E49" i="55"/>
  <c r="E106" i="55"/>
  <c r="E158" i="55"/>
  <c r="E50" i="55"/>
  <c r="E107" i="55"/>
  <c r="E159" i="55"/>
  <c r="E51" i="55"/>
  <c r="E108" i="55"/>
  <c r="E160" i="55"/>
  <c r="E52" i="55"/>
  <c r="E109" i="55"/>
  <c r="E161" i="55"/>
  <c r="E162" i="55"/>
  <c r="E163" i="55"/>
  <c r="E164" i="55"/>
  <c r="E56" i="55"/>
  <c r="E113" i="55"/>
  <c r="E165" i="55"/>
  <c r="E57" i="55"/>
  <c r="E114" i="55"/>
  <c r="E166" i="55"/>
  <c r="E58" i="55"/>
  <c r="E115" i="55"/>
  <c r="E167" i="55"/>
  <c r="E59" i="55"/>
  <c r="E116" i="55"/>
  <c r="E168" i="55"/>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D22" i="55"/>
  <c r="D79" i="55"/>
  <c r="D131" i="55"/>
  <c r="D23" i="55"/>
  <c r="D80" i="55"/>
  <c r="D132" i="55"/>
  <c r="D24" i="55"/>
  <c r="D81" i="55"/>
  <c r="D133" i="55"/>
  <c r="D25" i="55"/>
  <c r="D82" i="55"/>
  <c r="D134" i="55"/>
  <c r="D26" i="55"/>
  <c r="D83" i="55"/>
  <c r="D135" i="55"/>
  <c r="D27" i="55"/>
  <c r="D84" i="55"/>
  <c r="D136" i="55"/>
  <c r="D28" i="55"/>
  <c r="D85" i="55"/>
  <c r="D137" i="55"/>
  <c r="D29" i="55"/>
  <c r="D86" i="55"/>
  <c r="D138" i="55"/>
  <c r="D30" i="55"/>
  <c r="D87" i="55"/>
  <c r="D139" i="55"/>
  <c r="D31" i="55"/>
  <c r="D88" i="55"/>
  <c r="D140" i="55"/>
  <c r="E65" i="55"/>
  <c r="D32" i="55"/>
  <c r="D89" i="55"/>
  <c r="D141" i="55"/>
  <c r="D35" i="55"/>
  <c r="D92" i="55"/>
  <c r="D144" i="55"/>
  <c r="D36" i="55"/>
  <c r="D93" i="55"/>
  <c r="D145" i="55"/>
  <c r="D37" i="55"/>
  <c r="D94" i="55"/>
  <c r="D146" i="55"/>
  <c r="D38" i="55"/>
  <c r="D95" i="55"/>
  <c r="D147" i="55"/>
  <c r="D39" i="55"/>
  <c r="D96" i="55"/>
  <c r="D148" i="55"/>
  <c r="D40" i="55"/>
  <c r="D97" i="55"/>
  <c r="D149" i="55"/>
  <c r="D41" i="55"/>
  <c r="D98" i="55"/>
  <c r="D150" i="55"/>
  <c r="D42" i="55"/>
  <c r="D99" i="55"/>
  <c r="D151" i="55"/>
  <c r="D43" i="55"/>
  <c r="D100" i="55"/>
  <c r="D152" i="55"/>
  <c r="D44" i="55"/>
  <c r="D101" i="55"/>
  <c r="D153" i="55"/>
  <c r="D45" i="55"/>
  <c r="D102" i="55"/>
  <c r="D154" i="55"/>
  <c r="D46" i="55"/>
  <c r="D103" i="55"/>
  <c r="D155" i="55"/>
  <c r="D47" i="55"/>
  <c r="D104" i="55"/>
  <c r="D156" i="55"/>
  <c r="D48" i="55"/>
  <c r="D105" i="55"/>
  <c r="D157" i="55"/>
  <c r="D49" i="55"/>
  <c r="D106" i="55"/>
  <c r="D158" i="55"/>
  <c r="D50" i="55"/>
  <c r="D107" i="55"/>
  <c r="D159" i="55"/>
  <c r="D51" i="55"/>
  <c r="D108" i="55"/>
  <c r="D160" i="55"/>
  <c r="D52" i="55"/>
  <c r="D109" i="55"/>
  <c r="D161" i="55"/>
  <c r="D162" i="55"/>
  <c r="D163" i="55"/>
  <c r="D164" i="55"/>
  <c r="D56" i="55"/>
  <c r="D113" i="55"/>
  <c r="D165" i="55"/>
  <c r="D57" i="55"/>
  <c r="D114" i="55"/>
  <c r="D166" i="55"/>
  <c r="D58" i="55"/>
  <c r="D115" i="55"/>
  <c r="D167" i="55"/>
  <c r="D59" i="55"/>
  <c r="D116" i="55"/>
  <c r="D168" i="55"/>
  <c r="D33" i="55"/>
  <c r="D10" i="55"/>
  <c r="H7" i="61"/>
  <c r="C11" i="55"/>
  <c r="C63"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C22" i="55"/>
  <c r="C79" i="55"/>
  <c r="C131" i="55"/>
  <c r="C23" i="55"/>
  <c r="C80" i="55"/>
  <c r="C132" i="55"/>
  <c r="C24" i="55"/>
  <c r="C81" i="55"/>
  <c r="C133" i="55"/>
  <c r="C25" i="55"/>
  <c r="C82" i="55"/>
  <c r="C134" i="55"/>
  <c r="C26" i="55"/>
  <c r="C83" i="55"/>
  <c r="C135" i="55"/>
  <c r="C27" i="55"/>
  <c r="C84" i="55"/>
  <c r="C136" i="55"/>
  <c r="C28" i="55"/>
  <c r="C85" i="55"/>
  <c r="C137" i="55"/>
  <c r="C29" i="55"/>
  <c r="C86" i="55"/>
  <c r="C138" i="55"/>
  <c r="C30" i="55"/>
  <c r="C87" i="55"/>
  <c r="C139" i="55"/>
  <c r="C31" i="55"/>
  <c r="C88" i="55"/>
  <c r="C140" i="55"/>
  <c r="D65" i="55"/>
  <c r="C32" i="55"/>
  <c r="C89" i="55"/>
  <c r="C141" i="55"/>
  <c r="C35" i="55"/>
  <c r="C92" i="55"/>
  <c r="C144" i="55"/>
  <c r="C36" i="55"/>
  <c r="C93" i="55"/>
  <c r="C145" i="55"/>
  <c r="C37" i="55"/>
  <c r="C94" i="55"/>
  <c r="C146" i="55"/>
  <c r="C38" i="55"/>
  <c r="C95" i="55"/>
  <c r="C147" i="55"/>
  <c r="C39" i="55"/>
  <c r="C96" i="55"/>
  <c r="C148" i="55"/>
  <c r="C40" i="55"/>
  <c r="C97" i="55"/>
  <c r="C149" i="55"/>
  <c r="C41" i="55"/>
  <c r="C98" i="55"/>
  <c r="C150" i="55"/>
  <c r="C42" i="55"/>
  <c r="C99" i="55"/>
  <c r="C151" i="55"/>
  <c r="C43" i="55"/>
  <c r="C100" i="55"/>
  <c r="C152" i="55"/>
  <c r="C44" i="55"/>
  <c r="C101" i="55"/>
  <c r="C153" i="55"/>
  <c r="C45" i="55"/>
  <c r="C102" i="55"/>
  <c r="C154" i="55"/>
  <c r="C46" i="55"/>
  <c r="C103" i="55"/>
  <c r="C155" i="55"/>
  <c r="C47" i="55"/>
  <c r="C104" i="55"/>
  <c r="C156" i="55"/>
  <c r="C48" i="55"/>
  <c r="C105" i="55"/>
  <c r="C157" i="55"/>
  <c r="C49" i="55"/>
  <c r="C106" i="55"/>
  <c r="C158" i="55"/>
  <c r="C50" i="55"/>
  <c r="C107" i="55"/>
  <c r="C159" i="55"/>
  <c r="C51" i="55"/>
  <c r="C108" i="55"/>
  <c r="C160" i="55"/>
  <c r="C52" i="55"/>
  <c r="C109" i="55"/>
  <c r="C161" i="55"/>
  <c r="C162" i="55"/>
  <c r="C163" i="55"/>
  <c r="C164" i="55"/>
  <c r="C56" i="55"/>
  <c r="C113" i="55"/>
  <c r="C165" i="55"/>
  <c r="C57" i="55"/>
  <c r="C114" i="55"/>
  <c r="C166" i="55"/>
  <c r="C58" i="55"/>
  <c r="C115" i="55"/>
  <c r="C167" i="55"/>
  <c r="C59" i="55"/>
  <c r="C116" i="55"/>
  <c r="C168" i="55"/>
  <c r="C33" i="55"/>
  <c r="C10" i="55"/>
  <c r="G7" i="61"/>
  <c r="B11" i="55"/>
  <c r="B68" i="55"/>
  <c r="B120" i="55"/>
  <c r="E178" i="55"/>
  <c r="B12" i="55"/>
  <c r="B69" i="55"/>
  <c r="B121" i="55"/>
  <c r="E179" i="55"/>
  <c r="B13" i="55"/>
  <c r="B70" i="55"/>
  <c r="B122" i="55"/>
  <c r="E180" i="55"/>
  <c r="B14" i="55"/>
  <c r="B71" i="55"/>
  <c r="B123" i="55"/>
  <c r="E181" i="55"/>
  <c r="B15" i="55"/>
  <c r="B72" i="55"/>
  <c r="B124" i="55"/>
  <c r="E182" i="55"/>
  <c r="B16" i="55"/>
  <c r="B73" i="55"/>
  <c r="B125" i="55"/>
  <c r="E183" i="55"/>
  <c r="B17" i="55"/>
  <c r="B74" i="55"/>
  <c r="B126" i="55"/>
  <c r="E184" i="55"/>
  <c r="B18" i="55"/>
  <c r="B75" i="55"/>
  <c r="B127" i="55"/>
  <c r="E185" i="55"/>
  <c r="B19" i="55"/>
  <c r="B76" i="55"/>
  <c r="B128" i="55"/>
  <c r="E186" i="55"/>
  <c r="B20" i="55"/>
  <c r="B77" i="55"/>
  <c r="B129" i="55"/>
  <c r="E187" i="55"/>
  <c r="B21" i="55"/>
  <c r="B78" i="55"/>
  <c r="B130" i="55"/>
  <c r="B22" i="55"/>
  <c r="B79" i="55"/>
  <c r="B131" i="55"/>
  <c r="B23" i="55"/>
  <c r="B80" i="55"/>
  <c r="B132" i="55"/>
  <c r="B24" i="55"/>
  <c r="B81" i="55"/>
  <c r="B133" i="55"/>
  <c r="B25" i="55"/>
  <c r="B82" i="55"/>
  <c r="B134" i="55"/>
  <c r="B26" i="55"/>
  <c r="B83" i="55"/>
  <c r="B135" i="55"/>
  <c r="B27" i="55"/>
  <c r="B84" i="55"/>
  <c r="B136" i="55"/>
  <c r="B28" i="55"/>
  <c r="B85" i="55"/>
  <c r="B137" i="55"/>
  <c r="B29" i="55"/>
  <c r="B86" i="55"/>
  <c r="B138" i="55"/>
  <c r="B30" i="55"/>
  <c r="B87" i="55"/>
  <c r="B139" i="55"/>
  <c r="B31" i="55"/>
  <c r="B88" i="55"/>
  <c r="B140" i="55"/>
  <c r="C65" i="55"/>
  <c r="B32" i="55"/>
  <c r="B89" i="55"/>
  <c r="B141" i="55"/>
  <c r="B35" i="55"/>
  <c r="B92" i="55"/>
  <c r="B144" i="55"/>
  <c r="B36" i="55"/>
  <c r="B93" i="55"/>
  <c r="B145" i="55"/>
  <c r="B37" i="55"/>
  <c r="B94" i="55"/>
  <c r="B146" i="55"/>
  <c r="B38" i="55"/>
  <c r="B95" i="55"/>
  <c r="B147" i="55"/>
  <c r="B39" i="55"/>
  <c r="B96" i="55"/>
  <c r="B148" i="55"/>
  <c r="B40" i="55"/>
  <c r="B97" i="55"/>
  <c r="B149" i="55"/>
  <c r="B41" i="55"/>
  <c r="B98" i="55"/>
  <c r="B150" i="55"/>
  <c r="B42" i="55"/>
  <c r="B99" i="55"/>
  <c r="B151" i="55"/>
  <c r="B43" i="55"/>
  <c r="B100" i="55"/>
  <c r="B152" i="55"/>
  <c r="B44" i="55"/>
  <c r="B101" i="55"/>
  <c r="B153" i="55"/>
  <c r="B45" i="55"/>
  <c r="B102" i="55"/>
  <c r="B154" i="55"/>
  <c r="B46" i="55"/>
  <c r="B103" i="55"/>
  <c r="B155" i="55"/>
  <c r="B47" i="55"/>
  <c r="B104" i="55"/>
  <c r="B156" i="55"/>
  <c r="B48" i="55"/>
  <c r="B105" i="55"/>
  <c r="B157" i="55"/>
  <c r="B49" i="55"/>
  <c r="B106" i="55"/>
  <c r="B158" i="55"/>
  <c r="B50" i="55"/>
  <c r="B107" i="55"/>
  <c r="B159" i="55"/>
  <c r="B51" i="55"/>
  <c r="B108" i="55"/>
  <c r="B160" i="55"/>
  <c r="B52" i="55"/>
  <c r="B109" i="55"/>
  <c r="B161" i="55"/>
  <c r="B162" i="55"/>
  <c r="B163" i="55"/>
  <c r="B164" i="55"/>
  <c r="B56" i="55"/>
  <c r="B113" i="55"/>
  <c r="B165" i="55"/>
  <c r="B57" i="55"/>
  <c r="B114" i="55"/>
  <c r="B166" i="55"/>
  <c r="B58" i="55"/>
  <c r="B115" i="55"/>
  <c r="B167" i="55"/>
  <c r="B59" i="55"/>
  <c r="B116" i="55"/>
  <c r="B168" i="55"/>
  <c r="B33" i="55"/>
  <c r="B10" i="55"/>
  <c r="F7" i="61"/>
  <c r="D178" i="55"/>
  <c r="D179" i="55"/>
  <c r="D180" i="55"/>
  <c r="D181" i="55"/>
  <c r="D182" i="55"/>
  <c r="D183" i="55"/>
  <c r="D184" i="55"/>
  <c r="D185" i="55"/>
  <c r="D186" i="55"/>
  <c r="D187" i="55"/>
  <c r="B65" i="55"/>
  <c r="E56" i="61"/>
  <c r="D11" i="62"/>
  <c r="D12" i="62"/>
  <c r="C15" i="29"/>
  <c r="F5" i="62"/>
  <c r="F6" i="62"/>
  <c r="F7" i="62"/>
  <c r="F8" i="62"/>
  <c r="F9" i="62"/>
  <c r="F10" i="62"/>
  <c r="F12" i="62"/>
  <c r="E19" i="62"/>
  <c r="E21" i="62"/>
  <c r="C7" i="68"/>
  <c r="C10" i="68"/>
  <c r="C9" i="68"/>
  <c r="B9" i="68"/>
  <c r="B34" i="69"/>
  <c r="B33" i="69"/>
  <c r="E22" i="62"/>
  <c r="B66" i="83"/>
  <c r="B65" i="83"/>
  <c r="B64" i="83"/>
  <c r="J41" i="21"/>
  <c r="C10" i="62"/>
  <c r="C9" i="62"/>
  <c r="C8" i="62"/>
  <c r="C7" i="62"/>
  <c r="C6" i="62"/>
  <c r="C5" i="62"/>
  <c r="I22" i="68"/>
  <c r="H22" i="68"/>
  <c r="G22" i="68"/>
  <c r="F22" i="68"/>
  <c r="E22" i="68"/>
  <c r="D22" i="68"/>
  <c r="C22" i="68"/>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D87" i="81"/>
  <c r="E87" i="81"/>
  <c r="F87" i="81"/>
  <c r="G87" i="81"/>
  <c r="H87" i="81"/>
  <c r="B86" i="81"/>
  <c r="C86" i="81"/>
  <c r="D86" i="81"/>
  <c r="E86" i="81"/>
  <c r="F86" i="81"/>
  <c r="G86" i="81"/>
  <c r="H86" i="81"/>
  <c r="A13" i="72"/>
  <c r="A37" i="72"/>
  <c r="A59" i="72"/>
  <c r="H37" i="72"/>
  <c r="G37" i="72"/>
  <c r="F37" i="72"/>
  <c r="E37" i="72"/>
  <c r="D37" i="72"/>
  <c r="C37" i="72"/>
  <c r="B37" i="72"/>
  <c r="K9" i="61"/>
  <c r="J9" i="61"/>
  <c r="I9" i="61"/>
  <c r="H9" i="61"/>
  <c r="G9" i="61"/>
  <c r="F9" i="61"/>
  <c r="C9" i="61"/>
  <c r="C17" i="61"/>
  <c r="H47" i="57"/>
  <c r="V11" i="61"/>
  <c r="V8" i="61"/>
  <c r="V9" i="61"/>
  <c r="V10" i="61"/>
  <c r="V12" i="61"/>
  <c r="V13" i="61"/>
  <c r="V16" i="61"/>
  <c r="U13" i="61"/>
  <c r="U12" i="61"/>
  <c r="U10" i="61"/>
  <c r="U11" i="61"/>
  <c r="U9" i="61"/>
  <c r="O13" i="61"/>
  <c r="N13" i="61"/>
  <c r="O12" i="61"/>
  <c r="N12" i="61"/>
  <c r="O11" i="61"/>
  <c r="P11" i="61"/>
  <c r="Q11" i="61"/>
  <c r="R11" i="61"/>
  <c r="N11" i="61"/>
  <c r="N10" i="61"/>
  <c r="O10" i="61"/>
  <c r="O9" i="61"/>
  <c r="P9" i="61"/>
  <c r="Q9" i="61"/>
  <c r="R9" i="61"/>
  <c r="N9" i="61"/>
  <c r="R8" i="61"/>
  <c r="Q8" i="61"/>
  <c r="P8" i="61"/>
  <c r="O8" i="61"/>
  <c r="P10" i="61"/>
  <c r="Q10" i="61"/>
  <c r="R10" i="61"/>
  <c r="P12" i="61"/>
  <c r="Q12" i="61"/>
  <c r="R12" i="61"/>
  <c r="P13" i="61"/>
  <c r="Q13" i="61"/>
  <c r="R13" i="61"/>
  <c r="R16" i="61"/>
  <c r="Q16" i="61"/>
  <c r="P16" i="61"/>
  <c r="O16" i="61"/>
  <c r="F12" i="61"/>
  <c r="G12" i="61"/>
  <c r="H12" i="61"/>
  <c r="I12" i="61"/>
  <c r="J12" i="61"/>
  <c r="K12" i="61"/>
  <c r="C15" i="61"/>
  <c r="C16" i="61"/>
  <c r="I135" i="29"/>
  <c r="H135" i="29"/>
  <c r="G135" i="29"/>
  <c r="F135" i="29"/>
  <c r="E135" i="29"/>
  <c r="D135" i="29"/>
  <c r="C135" i="29"/>
  <c r="I165" i="29"/>
  <c r="H165" i="29"/>
  <c r="G165" i="29"/>
  <c r="F165" i="29"/>
  <c r="E165" i="29"/>
  <c r="D165" i="29"/>
  <c r="C165" i="29"/>
  <c r="I150" i="29"/>
  <c r="H150" i="29"/>
  <c r="G150" i="29"/>
  <c r="F150" i="29"/>
  <c r="E150" i="29"/>
  <c r="D150" i="29"/>
  <c r="C150" i="29"/>
  <c r="I180" i="29"/>
  <c r="H180" i="29"/>
  <c r="G180" i="29"/>
  <c r="F180" i="29"/>
  <c r="E180" i="29"/>
  <c r="D180" i="29"/>
  <c r="C180" i="29"/>
  <c r="I170" i="29"/>
  <c r="I171" i="29"/>
  <c r="I174" i="29"/>
  <c r="I175" i="29"/>
  <c r="I173" i="29"/>
  <c r="I172" i="29"/>
  <c r="I176" i="29"/>
  <c r="I177" i="29"/>
  <c r="H170" i="29"/>
  <c r="H171" i="29"/>
  <c r="H174" i="29"/>
  <c r="H175" i="29"/>
  <c r="H173" i="29"/>
  <c r="H172" i="29"/>
  <c r="H176" i="29"/>
  <c r="H177" i="29"/>
  <c r="G170" i="29"/>
  <c r="G171" i="29"/>
  <c r="G174" i="29"/>
  <c r="G175" i="29"/>
  <c r="G173" i="29"/>
  <c r="G172" i="29"/>
  <c r="G176" i="29"/>
  <c r="G177" i="29"/>
  <c r="F170" i="29"/>
  <c r="F171" i="29"/>
  <c r="F174" i="29"/>
  <c r="F175" i="29"/>
  <c r="F173" i="29"/>
  <c r="F172" i="29"/>
  <c r="F176" i="29"/>
  <c r="F177" i="29"/>
  <c r="E170" i="29"/>
  <c r="E171" i="29"/>
  <c r="E174" i="29"/>
  <c r="E175" i="29"/>
  <c r="E173" i="29"/>
  <c r="E172" i="29"/>
  <c r="E176" i="29"/>
  <c r="E177" i="29"/>
  <c r="D170" i="29"/>
  <c r="D171" i="29"/>
  <c r="D174" i="29"/>
  <c r="D175" i="29"/>
  <c r="D173" i="29"/>
  <c r="D172" i="29"/>
  <c r="D176" i="29"/>
  <c r="D177" i="29"/>
  <c r="C170" i="29"/>
  <c r="C171" i="29"/>
  <c r="C174" i="29"/>
  <c r="C175" i="29"/>
  <c r="C173" i="29"/>
  <c r="C172" i="29"/>
  <c r="C176" i="29"/>
  <c r="C177" i="29"/>
  <c r="B131" i="29"/>
  <c r="B146" i="29"/>
  <c r="B161" i="29"/>
  <c r="B176" i="29"/>
  <c r="B130" i="29"/>
  <c r="B145" i="29"/>
  <c r="B160" i="29"/>
  <c r="B175" i="29"/>
  <c r="I155" i="29"/>
  <c r="I156" i="29"/>
  <c r="I157" i="29"/>
  <c r="I158" i="29"/>
  <c r="I159" i="29"/>
  <c r="I160" i="29"/>
  <c r="I161" i="29"/>
  <c r="I162" i="29"/>
  <c r="H155" i="29"/>
  <c r="H156" i="29"/>
  <c r="H157" i="29"/>
  <c r="H158" i="29"/>
  <c r="H159" i="29"/>
  <c r="H160" i="29"/>
  <c r="H161" i="29"/>
  <c r="H162" i="29"/>
  <c r="G155" i="29"/>
  <c r="G156" i="29"/>
  <c r="G157" i="29"/>
  <c r="G158" i="29"/>
  <c r="G159" i="29"/>
  <c r="G160" i="29"/>
  <c r="G161" i="29"/>
  <c r="G162" i="29"/>
  <c r="F155" i="29"/>
  <c r="F156" i="29"/>
  <c r="F157" i="29"/>
  <c r="F158" i="29"/>
  <c r="F159" i="29"/>
  <c r="F160" i="29"/>
  <c r="F161" i="29"/>
  <c r="F162" i="29"/>
  <c r="E155" i="29"/>
  <c r="E156" i="29"/>
  <c r="E157" i="29"/>
  <c r="E158" i="29"/>
  <c r="E159" i="29"/>
  <c r="E160" i="29"/>
  <c r="E161" i="29"/>
  <c r="E162" i="29"/>
  <c r="D155" i="29"/>
  <c r="D156" i="29"/>
  <c r="D157" i="29"/>
  <c r="D158" i="29"/>
  <c r="D159" i="29"/>
  <c r="D160" i="29"/>
  <c r="D161" i="29"/>
  <c r="D162" i="29"/>
  <c r="C155" i="29"/>
  <c r="C156" i="29"/>
  <c r="C157" i="29"/>
  <c r="C158" i="29"/>
  <c r="C159" i="29"/>
  <c r="C160" i="29"/>
  <c r="C161" i="29"/>
  <c r="C162" i="29"/>
  <c r="I140" i="29"/>
  <c r="I141" i="29"/>
  <c r="I142" i="29"/>
  <c r="I143" i="29"/>
  <c r="I144" i="29"/>
  <c r="I145" i="29"/>
  <c r="I146" i="29"/>
  <c r="I147" i="29"/>
  <c r="H140" i="29"/>
  <c r="H141" i="29"/>
  <c r="H142" i="29"/>
  <c r="H143" i="29"/>
  <c r="H144" i="29"/>
  <c r="H145" i="29"/>
  <c r="H146" i="29"/>
  <c r="H147" i="29"/>
  <c r="G140" i="29"/>
  <c r="G141" i="29"/>
  <c r="G142" i="29"/>
  <c r="G143" i="29"/>
  <c r="G144" i="29"/>
  <c r="G145" i="29"/>
  <c r="G146" i="29"/>
  <c r="G147" i="29"/>
  <c r="F140" i="29"/>
  <c r="F141" i="29"/>
  <c r="F142" i="29"/>
  <c r="F143" i="29"/>
  <c r="F144" i="29"/>
  <c r="F145" i="29"/>
  <c r="F146" i="29"/>
  <c r="F147" i="29"/>
  <c r="E140" i="29"/>
  <c r="E141" i="29"/>
  <c r="E142" i="29"/>
  <c r="E143" i="29"/>
  <c r="E144" i="29"/>
  <c r="E145" i="29"/>
  <c r="E146" i="29"/>
  <c r="E147" i="29"/>
  <c r="D140" i="29"/>
  <c r="D141" i="29"/>
  <c r="D142" i="29"/>
  <c r="D143" i="29"/>
  <c r="D144" i="29"/>
  <c r="D145" i="29"/>
  <c r="D146" i="29"/>
  <c r="D147" i="29"/>
  <c r="C140" i="29"/>
  <c r="C141" i="29"/>
  <c r="C142" i="29"/>
  <c r="C143" i="29"/>
  <c r="C144" i="29"/>
  <c r="C145" i="29"/>
  <c r="C146" i="29"/>
  <c r="C147" i="29"/>
  <c r="I125" i="29"/>
  <c r="I126" i="29"/>
  <c r="I127" i="29"/>
  <c r="I128" i="29"/>
  <c r="I129" i="29"/>
  <c r="I130" i="29"/>
  <c r="I131" i="29"/>
  <c r="I132" i="29"/>
  <c r="H125" i="29"/>
  <c r="H126" i="29"/>
  <c r="H127" i="29"/>
  <c r="H128" i="29"/>
  <c r="H129" i="29"/>
  <c r="H130" i="29"/>
  <c r="H131" i="29"/>
  <c r="H132" i="29"/>
  <c r="G125" i="29"/>
  <c r="G126" i="29"/>
  <c r="G127" i="29"/>
  <c r="G128" i="29"/>
  <c r="G129" i="29"/>
  <c r="G130" i="29"/>
  <c r="G131" i="29"/>
  <c r="G132" i="29"/>
  <c r="F125" i="29"/>
  <c r="F126" i="29"/>
  <c r="F127" i="29"/>
  <c r="F128" i="29"/>
  <c r="F129" i="29"/>
  <c r="F130" i="29"/>
  <c r="F131" i="29"/>
  <c r="F132" i="29"/>
  <c r="E125" i="29"/>
  <c r="E126" i="29"/>
  <c r="E127" i="29"/>
  <c r="E128" i="29"/>
  <c r="E129" i="29"/>
  <c r="E130" i="29"/>
  <c r="E131" i="29"/>
  <c r="E132" i="29"/>
  <c r="D125" i="29"/>
  <c r="D126" i="29"/>
  <c r="D127" i="29"/>
  <c r="D128" i="29"/>
  <c r="D129" i="29"/>
  <c r="D130" i="29"/>
  <c r="D131" i="29"/>
  <c r="D132" i="29"/>
  <c r="C131" i="29"/>
  <c r="C125" i="29"/>
  <c r="C126" i="29"/>
  <c r="C127" i="29"/>
  <c r="C128" i="29"/>
  <c r="C129" i="29"/>
  <c r="C130" i="29"/>
  <c r="C132" i="29"/>
  <c r="B129" i="29"/>
  <c r="B128" i="29"/>
  <c r="B127" i="29"/>
  <c r="B126" i="29"/>
  <c r="B125" i="29"/>
  <c r="I32" i="29"/>
  <c r="I33" i="29"/>
  <c r="I34" i="29"/>
  <c r="I35" i="29"/>
  <c r="I36" i="29"/>
  <c r="I37" i="29"/>
  <c r="I39" i="29"/>
  <c r="H32" i="29"/>
  <c r="H33" i="29"/>
  <c r="H34" i="29"/>
  <c r="H35" i="29"/>
  <c r="H36" i="29"/>
  <c r="H37" i="29"/>
  <c r="H39" i="29"/>
  <c r="G32" i="29"/>
  <c r="G33" i="29"/>
  <c r="G34" i="29"/>
  <c r="G35" i="29"/>
  <c r="G36" i="29"/>
  <c r="G37" i="29"/>
  <c r="G39" i="29"/>
  <c r="F32" i="29"/>
  <c r="F33" i="29"/>
  <c r="F34" i="29"/>
  <c r="F35" i="29"/>
  <c r="F36" i="29"/>
  <c r="F37" i="29"/>
  <c r="F39" i="29"/>
  <c r="E32" i="29"/>
  <c r="E33" i="29"/>
  <c r="E34" i="29"/>
  <c r="E35" i="29"/>
  <c r="E36" i="29"/>
  <c r="E37" i="29"/>
  <c r="E39" i="29"/>
  <c r="D32" i="29"/>
  <c r="D33" i="29"/>
  <c r="D34" i="29"/>
  <c r="D35" i="29"/>
  <c r="D36" i="29"/>
  <c r="D37" i="29"/>
  <c r="D39" i="29"/>
  <c r="C32" i="29"/>
  <c r="C33" i="29"/>
  <c r="C34" i="29"/>
  <c r="C35" i="29"/>
  <c r="C36" i="29"/>
  <c r="C37" i="29"/>
  <c r="C39" i="29"/>
  <c r="B37" i="29"/>
  <c r="B36" i="29"/>
  <c r="B35" i="29"/>
  <c r="B34" i="29"/>
  <c r="B33" i="29"/>
  <c r="B32" i="29"/>
  <c r="C52" i="61"/>
  <c r="C51" i="61"/>
  <c r="C50" i="61"/>
  <c r="C49" i="61"/>
  <c r="C48" i="61"/>
  <c r="C47" i="6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3"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H45" i="84"/>
  <c r="G41" i="84"/>
  <c r="G45" i="84"/>
  <c r="H46" i="84"/>
  <c r="G46" i="84"/>
  <c r="H47" i="84"/>
  <c r="G47" i="84"/>
  <c r="H44" i="84"/>
  <c r="H53" i="84"/>
  <c r="H48" i="84"/>
  <c r="H42" i="84"/>
  <c r="G39" i="72"/>
  <c r="G41" i="72"/>
  <c r="H39" i="72"/>
  <c r="H41" i="72"/>
  <c r="J186" i="84"/>
  <c r="J188" i="84"/>
  <c r="F41" i="84"/>
  <c r="F45" i="84"/>
  <c r="F46" i="84"/>
  <c r="F47" i="84"/>
  <c r="G44" i="84"/>
  <c r="G53" i="84"/>
  <c r="G48" i="84"/>
  <c r="G42" i="84"/>
  <c r="F39" i="72"/>
  <c r="F41" i="72"/>
  <c r="I186" i="84"/>
  <c r="I188" i="84"/>
  <c r="E41" i="84"/>
  <c r="E45" i="84"/>
  <c r="E46" i="84"/>
  <c r="E47" i="84"/>
  <c r="F44" i="84"/>
  <c r="F53" i="84"/>
  <c r="F48" i="84"/>
  <c r="F42" i="84"/>
  <c r="E39" i="72"/>
  <c r="E41" i="72"/>
  <c r="H186" i="84"/>
  <c r="H188" i="84"/>
  <c r="D41" i="84"/>
  <c r="D45" i="84"/>
  <c r="D46" i="84"/>
  <c r="D47" i="84"/>
  <c r="E44" i="84"/>
  <c r="E53" i="84"/>
  <c r="E48" i="84"/>
  <c r="E42" i="84"/>
  <c r="D39" i="72"/>
  <c r="D41" i="72"/>
  <c r="G186" i="84"/>
  <c r="G188" i="84"/>
  <c r="C41" i="84"/>
  <c r="C45" i="84"/>
  <c r="C46" i="84"/>
  <c r="C47" i="84"/>
  <c r="D44" i="84"/>
  <c r="D53" i="84"/>
  <c r="D48" i="84"/>
  <c r="D42" i="84"/>
  <c r="C39" i="72"/>
  <c r="C41" i="72"/>
  <c r="F186" i="84"/>
  <c r="F188" i="84"/>
  <c r="B45" i="84"/>
  <c r="B46" i="84"/>
  <c r="B47" i="84"/>
  <c r="C44" i="84"/>
  <c r="C53" i="84"/>
  <c r="C48" i="84"/>
  <c r="C42" i="84"/>
  <c r="B39" i="72"/>
  <c r="B41" i="72"/>
  <c r="E186" i="84"/>
  <c r="E188" i="84"/>
  <c r="B53" i="84"/>
  <c r="B44" i="84"/>
  <c r="B48" i="84"/>
  <c r="B42" i="84"/>
  <c r="D186" i="84"/>
  <c r="D188"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C87" i="22"/>
  <c r="D87" i="22"/>
  <c r="E87" i="22"/>
  <c r="F87" i="22"/>
  <c r="G87" i="22"/>
  <c r="H87" i="22"/>
  <c r="I87" i="22"/>
  <c r="C40" i="22"/>
  <c r="D37" i="22"/>
  <c r="D40" i="22"/>
  <c r="E37" i="22"/>
  <c r="E40" i="22"/>
  <c r="F37" i="22"/>
  <c r="F40" i="22"/>
  <c r="G37" i="22"/>
  <c r="G40" i="22"/>
  <c r="H37" i="22"/>
  <c r="H40" i="22"/>
  <c r="I37" i="22"/>
  <c r="C39" i="22"/>
  <c r="D39" i="22"/>
  <c r="E39" i="22"/>
  <c r="F39" i="22"/>
  <c r="G39" i="22"/>
  <c r="H39" i="22"/>
  <c r="I39" i="22"/>
  <c r="K39" i="22"/>
  <c r="L39" i="22"/>
  <c r="M39" i="22"/>
  <c r="N39" i="22"/>
  <c r="O39" i="22"/>
  <c r="P39" i="22"/>
  <c r="Q39" i="22"/>
  <c r="I40" i="22"/>
  <c r="Q40" i="22"/>
  <c r="C46" i="22"/>
  <c r="D43" i="22"/>
  <c r="D46" i="22"/>
  <c r="E43" i="22"/>
  <c r="E46" i="22"/>
  <c r="F43" i="22"/>
  <c r="F46" i="22"/>
  <c r="G43" i="22"/>
  <c r="G46" i="22"/>
  <c r="H43" i="22"/>
  <c r="H46" i="22"/>
  <c r="I43" i="22"/>
  <c r="C45" i="22"/>
  <c r="D45" i="22"/>
  <c r="E45" i="22"/>
  <c r="F45" i="22"/>
  <c r="G45" i="22"/>
  <c r="H45" i="22"/>
  <c r="I45" i="22"/>
  <c r="K45" i="22"/>
  <c r="L45" i="22"/>
  <c r="M45" i="22"/>
  <c r="N45" i="22"/>
  <c r="O45" i="22"/>
  <c r="P45" i="22"/>
  <c r="Q45" i="22"/>
  <c r="I46" i="22"/>
  <c r="Q46" i="22"/>
  <c r="C52" i="22"/>
  <c r="D49" i="22"/>
  <c r="D52" i="22"/>
  <c r="E49" i="22"/>
  <c r="E52" i="22"/>
  <c r="F49" i="22"/>
  <c r="F52" i="22"/>
  <c r="G49" i="22"/>
  <c r="G52" i="22"/>
  <c r="H49" i="22"/>
  <c r="H52" i="22"/>
  <c r="I49" i="22"/>
  <c r="C51" i="22"/>
  <c r="D51" i="22"/>
  <c r="E51" i="22"/>
  <c r="F51" i="22"/>
  <c r="G51" i="22"/>
  <c r="H51" i="22"/>
  <c r="I51" i="22"/>
  <c r="K51" i="22"/>
  <c r="L51" i="22"/>
  <c r="M51" i="22"/>
  <c r="N51" i="22"/>
  <c r="O51" i="22"/>
  <c r="P51" i="22"/>
  <c r="Q51" i="22"/>
  <c r="I52" i="22"/>
  <c r="Q52" i="22"/>
  <c r="C58" i="22"/>
  <c r="D55" i="22"/>
  <c r="D58" i="22"/>
  <c r="E55" i="22"/>
  <c r="E58" i="22"/>
  <c r="F55" i="22"/>
  <c r="F58" i="22"/>
  <c r="G55" i="22"/>
  <c r="G58" i="22"/>
  <c r="H55" i="22"/>
  <c r="H58" i="22"/>
  <c r="I55" i="22"/>
  <c r="C57" i="22"/>
  <c r="D57" i="22"/>
  <c r="E57" i="22"/>
  <c r="F57" i="22"/>
  <c r="G57" i="22"/>
  <c r="H57" i="22"/>
  <c r="I57" i="22"/>
  <c r="K57" i="22"/>
  <c r="L57" i="22"/>
  <c r="M57" i="22"/>
  <c r="N57" i="22"/>
  <c r="O57" i="22"/>
  <c r="P57" i="22"/>
  <c r="Q57" i="22"/>
  <c r="I58" i="22"/>
  <c r="Q58" i="22"/>
  <c r="A61" i="22"/>
  <c r="C64" i="22"/>
  <c r="D61" i="22"/>
  <c r="D64" i="22"/>
  <c r="E61" i="22"/>
  <c r="E64" i="22"/>
  <c r="F61" i="22"/>
  <c r="F64" i="22"/>
  <c r="G61" i="22"/>
  <c r="G64" i="22"/>
  <c r="H61" i="22"/>
  <c r="H64" i="22"/>
  <c r="I61" i="22"/>
  <c r="A62" i="22"/>
  <c r="A63" i="22"/>
  <c r="C63" i="22"/>
  <c r="D63" i="22"/>
  <c r="E63" i="22"/>
  <c r="F63" i="22"/>
  <c r="G63" i="22"/>
  <c r="H63" i="22"/>
  <c r="I63" i="22"/>
  <c r="K63" i="22"/>
  <c r="L63" i="22"/>
  <c r="M63" i="22"/>
  <c r="N63" i="22"/>
  <c r="O63" i="22"/>
  <c r="P63" i="22"/>
  <c r="Q63" i="22"/>
  <c r="A64" i="22"/>
  <c r="I64" i="22"/>
  <c r="Q64" i="22"/>
  <c r="C65" i="22"/>
  <c r="D65" i="22"/>
  <c r="E65" i="22"/>
  <c r="F65" i="22"/>
  <c r="G65" i="22"/>
  <c r="H65" i="22"/>
  <c r="I65" i="22"/>
  <c r="K65" i="22"/>
  <c r="L65" i="22"/>
  <c r="M65" i="22"/>
  <c r="N65" i="22"/>
  <c r="O65" i="22"/>
  <c r="P65" i="22"/>
  <c r="Q65" i="22"/>
  <c r="C67" i="22"/>
  <c r="D67" i="22"/>
  <c r="E67" i="22"/>
  <c r="F67" i="22"/>
  <c r="G67" i="22"/>
  <c r="H67" i="22"/>
  <c r="I67" i="22"/>
  <c r="K67" i="22"/>
  <c r="L67" i="22"/>
  <c r="M67" i="22"/>
  <c r="N67" i="22"/>
  <c r="O67" i="22"/>
  <c r="P67" i="22"/>
  <c r="Q67" i="22"/>
  <c r="C68" i="22"/>
  <c r="D68" i="22"/>
  <c r="E68" i="22"/>
  <c r="F68" i="22"/>
  <c r="G68" i="22"/>
  <c r="H68" i="22"/>
  <c r="I68" i="22"/>
  <c r="K68" i="22"/>
  <c r="L68" i="22"/>
  <c r="M68" i="22"/>
  <c r="N68" i="22"/>
  <c r="O68" i="22"/>
  <c r="P68" i="22"/>
  <c r="Q68" i="22"/>
  <c r="C134" i="29"/>
  <c r="D134" i="29"/>
  <c r="E134" i="29"/>
  <c r="F134" i="29"/>
  <c r="G134" i="29"/>
  <c r="H134" i="29"/>
  <c r="I134" i="29"/>
  <c r="C136" i="29"/>
  <c r="D136" i="29"/>
  <c r="E136" i="29"/>
  <c r="F136" i="29"/>
  <c r="G136" i="29"/>
  <c r="H136" i="29"/>
  <c r="I136" i="29"/>
  <c r="C137" i="29"/>
  <c r="D137" i="29"/>
  <c r="E137" i="29"/>
  <c r="F137" i="29"/>
  <c r="G137" i="29"/>
  <c r="H137" i="29"/>
  <c r="I137" i="29"/>
  <c r="B140" i="29"/>
  <c r="B141" i="29"/>
  <c r="B142" i="29"/>
  <c r="B143" i="29"/>
  <c r="B144" i="29"/>
  <c r="C149" i="29"/>
  <c r="D149" i="29"/>
  <c r="E149" i="29"/>
  <c r="F149" i="29"/>
  <c r="G149" i="29"/>
  <c r="H149" i="29"/>
  <c r="I149" i="29"/>
  <c r="C151" i="29"/>
  <c r="D151" i="29"/>
  <c r="E151" i="29"/>
  <c r="F151" i="29"/>
  <c r="G151" i="29"/>
  <c r="H151" i="29"/>
  <c r="I151" i="29"/>
  <c r="C152" i="29"/>
  <c r="D152" i="29"/>
  <c r="E152" i="29"/>
  <c r="F152" i="29"/>
  <c r="G152" i="29"/>
  <c r="H152" i="29"/>
  <c r="I152" i="29"/>
  <c r="B155" i="29"/>
  <c r="B156" i="29"/>
  <c r="B157" i="29"/>
  <c r="B158" i="29"/>
  <c r="B159" i="29"/>
  <c r="C164" i="29"/>
  <c r="D164" i="29"/>
  <c r="E164" i="29"/>
  <c r="F164" i="29"/>
  <c r="G164" i="29"/>
  <c r="H164" i="29"/>
  <c r="I164" i="29"/>
  <c r="C166" i="29"/>
  <c r="D166" i="29"/>
  <c r="E166" i="29"/>
  <c r="F166" i="29"/>
  <c r="G166" i="29"/>
  <c r="H166" i="29"/>
  <c r="I166" i="29"/>
  <c r="C167" i="29"/>
  <c r="D167" i="29"/>
  <c r="E167" i="29"/>
  <c r="F167" i="29"/>
  <c r="G167" i="29"/>
  <c r="H167" i="29"/>
  <c r="I167" i="29"/>
  <c r="B170" i="29"/>
  <c r="B171" i="29"/>
  <c r="B172" i="29"/>
  <c r="B173" i="29"/>
  <c r="B174" i="29"/>
  <c r="C179" i="29"/>
  <c r="D179" i="29"/>
  <c r="E179" i="29"/>
  <c r="F179" i="29"/>
  <c r="G179" i="29"/>
  <c r="H179" i="29"/>
  <c r="I179" i="29"/>
  <c r="C181" i="29"/>
  <c r="D181" i="29"/>
  <c r="E181" i="29"/>
  <c r="F181" i="29"/>
  <c r="G181" i="29"/>
  <c r="H181" i="29"/>
  <c r="I181" i="29"/>
  <c r="C182" i="29"/>
  <c r="D182" i="29"/>
  <c r="E182" i="29"/>
  <c r="F182" i="29"/>
  <c r="G182" i="29"/>
  <c r="H182" i="29"/>
  <c r="I182" i="29"/>
  <c r="H26" i="57"/>
  <c r="D96" i="29"/>
  <c r="D97" i="29"/>
  <c r="C94" i="29"/>
  <c r="E96" i="29"/>
  <c r="E97" i="29"/>
  <c r="F96" i="29"/>
  <c r="F97" i="29"/>
  <c r="G96" i="29"/>
  <c r="G97" i="29"/>
  <c r="H96" i="29"/>
  <c r="H97" i="29"/>
  <c r="C60" i="29"/>
  <c r="C61" i="29"/>
  <c r="C65" i="29"/>
  <c r="D60" i="29"/>
  <c r="D61" i="29"/>
  <c r="D65" i="29"/>
  <c r="E60" i="29"/>
  <c r="E61" i="29"/>
  <c r="E65" i="29"/>
  <c r="F60" i="29"/>
  <c r="F61" i="29"/>
  <c r="F65" i="29"/>
  <c r="G60" i="29"/>
  <c r="G61" i="29"/>
  <c r="G65" i="29"/>
  <c r="H60" i="29"/>
  <c r="H61" i="29"/>
  <c r="H65" i="29"/>
  <c r="I60" i="29"/>
  <c r="I61" i="29"/>
  <c r="I65" i="29"/>
  <c r="C71" i="29"/>
  <c r="D11" i="29"/>
  <c r="D12" i="29"/>
  <c r="E11" i="29"/>
  <c r="E12" i="29"/>
  <c r="F11" i="29"/>
  <c r="F12" i="29"/>
  <c r="G11" i="29"/>
  <c r="G12" i="29"/>
  <c r="H11" i="29"/>
  <c r="H12" i="29"/>
  <c r="I11" i="29"/>
  <c r="I12" i="29"/>
  <c r="J11" i="29"/>
  <c r="J12" i="29"/>
  <c r="C83" i="29"/>
  <c r="C45" i="29"/>
  <c r="C41" i="29"/>
  <c r="C43" i="29"/>
  <c r="C47" i="29"/>
  <c r="D45" i="29"/>
  <c r="D41" i="29"/>
  <c r="D43" i="29"/>
  <c r="D47" i="29"/>
  <c r="E45" i="29"/>
  <c r="E41" i="29"/>
  <c r="E43" i="29"/>
  <c r="E47" i="29"/>
  <c r="F45" i="29"/>
  <c r="F41" i="29"/>
  <c r="F43" i="29"/>
  <c r="F47" i="29"/>
  <c r="G45" i="29"/>
  <c r="G41" i="29"/>
  <c r="G43" i="29"/>
  <c r="G47" i="29"/>
  <c r="H45" i="29"/>
  <c r="H41" i="29"/>
  <c r="H43" i="29"/>
  <c r="H47" i="29"/>
  <c r="I45" i="29"/>
  <c r="I41" i="29"/>
  <c r="I43" i="29"/>
  <c r="I47" i="29"/>
  <c r="C49" i="29"/>
  <c r="D28" i="62"/>
  <c r="V12" i="83"/>
  <c r="W12" i="83"/>
  <c r="X12" i="83"/>
  <c r="P12" i="83"/>
  <c r="Q12" i="83"/>
  <c r="R12" i="83"/>
  <c r="S12" i="83"/>
  <c r="T12" i="83"/>
  <c r="J14" i="81"/>
  <c r="K12" i="81"/>
  <c r="K14" i="81"/>
  <c r="L12" i="81"/>
  <c r="L14" i="81"/>
  <c r="M12" i="81"/>
  <c r="M14" i="81"/>
  <c r="B109" i="81"/>
  <c r="C109" i="81"/>
  <c r="D109" i="81"/>
  <c r="E109" i="81"/>
  <c r="F109" i="81"/>
  <c r="G109" i="81"/>
  <c r="N12" i="81"/>
  <c r="N14" i="81"/>
  <c r="A44" i="81"/>
  <c r="A69" i="81"/>
  <c r="A15" i="72"/>
  <c r="A39" i="72"/>
  <c r="A66" i="72"/>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8" i="72"/>
  <c r="A20" i="72"/>
  <c r="A44" i="72"/>
  <c r="A19" i="72"/>
  <c r="A43" i="72"/>
  <c r="A81" i="72"/>
  <c r="A18" i="72"/>
  <c r="A42" i="72"/>
  <c r="A78" i="72"/>
  <c r="A17" i="72"/>
  <c r="A41" i="72"/>
  <c r="A73" i="72"/>
  <c r="A16" i="72"/>
  <c r="A40" i="72"/>
  <c r="A70" i="72"/>
  <c r="A123" i="72"/>
  <c r="A31" i="72"/>
  <c r="A56" i="72"/>
  <c r="A120" i="72"/>
  <c r="A30" i="72"/>
  <c r="A55" i="72"/>
  <c r="A117" i="72"/>
  <c r="A29" i="72"/>
  <c r="A54" i="72"/>
  <c r="A114" i="72"/>
  <c r="A28" i="72"/>
  <c r="A53" i="72"/>
  <c r="A111" i="72"/>
  <c r="A108" i="72"/>
  <c r="A26" i="72"/>
  <c r="A51" i="72"/>
  <c r="A105" i="72"/>
  <c r="A25" i="72"/>
  <c r="A50" i="72"/>
  <c r="A102" i="72"/>
  <c r="A24" i="72"/>
  <c r="A49" i="72"/>
  <c r="A99" i="72"/>
  <c r="A23" i="72"/>
  <c r="A47" i="72"/>
  <c r="A96" i="72"/>
  <c r="A22" i="72"/>
  <c r="A46" i="72"/>
  <c r="A92" i="72"/>
  <c r="H56" i="72"/>
  <c r="H55" i="72"/>
  <c r="H54" i="72"/>
  <c r="H53" i="72"/>
  <c r="H51" i="72"/>
  <c r="H49" i="72"/>
  <c r="H46" i="72"/>
  <c r="H45" i="72"/>
  <c r="H44" i="72"/>
  <c r="H43" i="72"/>
  <c r="G56" i="72"/>
  <c r="G55" i="72"/>
  <c r="G54" i="72"/>
  <c r="G53" i="72"/>
  <c r="G51" i="72"/>
  <c r="G49" i="72"/>
  <c r="G46" i="72"/>
  <c r="G45" i="72"/>
  <c r="G44" i="72"/>
  <c r="G43" i="72"/>
  <c r="F56" i="72"/>
  <c r="F55" i="72"/>
  <c r="F54" i="72"/>
  <c r="F53" i="72"/>
  <c r="F51" i="72"/>
  <c r="F49" i="72"/>
  <c r="F46" i="72"/>
  <c r="F45" i="72"/>
  <c r="F44" i="72"/>
  <c r="F43" i="72"/>
  <c r="E56" i="72"/>
  <c r="E55" i="72"/>
  <c r="E54" i="72"/>
  <c r="E53" i="72"/>
  <c r="E51" i="72"/>
  <c r="E49" i="72"/>
  <c r="E46" i="72"/>
  <c r="E45" i="72"/>
  <c r="E44" i="72"/>
  <c r="E43" i="72"/>
  <c r="D56" i="72"/>
  <c r="D55" i="72"/>
  <c r="D54" i="72"/>
  <c r="D53" i="72"/>
  <c r="D51" i="72"/>
  <c r="D49" i="72"/>
  <c r="D46" i="72"/>
  <c r="D45" i="72"/>
  <c r="D44" i="72"/>
  <c r="D43" i="72"/>
  <c r="C56" i="72"/>
  <c r="C55" i="72"/>
  <c r="C54" i="72"/>
  <c r="C53" i="72"/>
  <c r="C51" i="72"/>
  <c r="C49" i="72"/>
  <c r="C46" i="72"/>
  <c r="C45" i="72"/>
  <c r="C44" i="72"/>
  <c r="C43" i="72"/>
  <c r="B56" i="72"/>
  <c r="B55" i="72"/>
  <c r="B54" i="72"/>
  <c r="B53" i="72"/>
  <c r="B51" i="72"/>
  <c r="B49" i="72"/>
  <c r="B46" i="72"/>
  <c r="B45" i="72"/>
  <c r="B44" i="72"/>
  <c r="B43"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H109" i="81"/>
  <c r="A100" i="81"/>
  <c r="V12" i="81"/>
  <c r="W12" i="81"/>
  <c r="X12" i="81"/>
  <c r="P12" i="81"/>
  <c r="Q12" i="81"/>
  <c r="R12" i="81"/>
  <c r="S12" i="81"/>
  <c r="T12" i="81"/>
  <c r="A32" i="48"/>
  <c r="A31" i="48"/>
  <c r="A30" i="48"/>
  <c r="A29" i="48"/>
  <c r="A28" i="48"/>
  <c r="M15" i="62"/>
  <c r="M17" i="62"/>
  <c r="A131" i="53"/>
  <c r="A198" i="53"/>
  <c r="J97" i="29"/>
  <c r="I97" i="29"/>
  <c r="B98" i="29"/>
  <c r="B97" i="29"/>
  <c r="B96" i="29"/>
  <c r="B95" i="29"/>
  <c r="J274" i="53"/>
  <c r="J276" i="53"/>
  <c r="I274" i="53"/>
  <c r="I276" i="53"/>
  <c r="H274" i="53"/>
  <c r="H276" i="53"/>
  <c r="G274" i="53"/>
  <c r="G276" i="53"/>
  <c r="F274" i="53"/>
  <c r="F276" i="53"/>
  <c r="E274" i="53"/>
  <c r="E276" i="53"/>
  <c r="D274" i="53"/>
  <c r="D276" i="53"/>
  <c r="C20" i="68"/>
  <c r="B18" i="69"/>
  <c r="I23" i="68"/>
  <c r="H23" i="68"/>
  <c r="G23" i="68"/>
  <c r="F23" i="68"/>
  <c r="E23" i="68"/>
  <c r="D23" i="68"/>
  <c r="C23" i="68"/>
  <c r="C19" i="68"/>
  <c r="C18" i="68"/>
  <c r="C17" i="68"/>
  <c r="C15" i="68"/>
  <c r="A20" i="21"/>
  <c r="A30" i="21"/>
  <c r="A19" i="21"/>
  <c r="A29" i="21"/>
  <c r="A18" i="21"/>
  <c r="A28" i="21"/>
  <c r="A21" i="21"/>
  <c r="A31" i="21"/>
  <c r="A22" i="21"/>
  <c r="A32" i="21"/>
  <c r="K57" i="48"/>
  <c r="J57" i="48"/>
  <c r="I57" i="48"/>
  <c r="H57" i="48"/>
  <c r="G57" i="48"/>
  <c r="F57" i="48"/>
  <c r="E57" i="48"/>
  <c r="J45" i="42"/>
  <c r="I45" i="42"/>
  <c r="H45" i="42"/>
  <c r="G45" i="42"/>
  <c r="F45" i="42"/>
  <c r="E45" i="42"/>
  <c r="D45" i="42"/>
  <c r="J186" i="72"/>
  <c r="J188" i="72"/>
  <c r="I186" i="72"/>
  <c r="I188" i="72"/>
  <c r="H186" i="72"/>
  <c r="H188" i="72"/>
  <c r="G186" i="72"/>
  <c r="G188" i="72"/>
  <c r="F186" i="72"/>
  <c r="F188" i="72"/>
  <c r="E186" i="72"/>
  <c r="E188" i="72"/>
  <c r="D186" i="72"/>
  <c r="D188" i="72"/>
  <c r="K151" i="72"/>
  <c r="H28" i="69"/>
  <c r="B16" i="68"/>
  <c r="B15" i="68"/>
  <c r="A251" i="53"/>
  <c r="A250" i="53"/>
  <c r="A249" i="53"/>
  <c r="A247" i="53"/>
  <c r="A246" i="53"/>
  <c r="A245" i="53"/>
  <c r="A244" i="53"/>
  <c r="A195" i="53"/>
  <c r="G59" i="48"/>
  <c r="E59" i="48"/>
  <c r="F59" i="48"/>
  <c r="H59" i="48"/>
  <c r="I59" i="48"/>
  <c r="K59" i="48"/>
  <c r="J59" i="48"/>
  <c r="E47" i="42"/>
  <c r="G47" i="42"/>
  <c r="F47" i="42"/>
  <c r="H47" i="42"/>
  <c r="I47" i="42"/>
  <c r="J47" i="42"/>
  <c r="C18" i="69"/>
  <c r="D18" i="69"/>
  <c r="E18" i="69"/>
  <c r="F18" i="69"/>
  <c r="G18" i="69"/>
  <c r="H18" i="69"/>
  <c r="H27" i="69"/>
  <c r="H31" i="69"/>
  <c r="D6" i="68"/>
  <c r="C27" i="69"/>
  <c r="B27" i="69"/>
  <c r="D47" i="42"/>
  <c r="C6" i="68"/>
  <c r="D27" i="69"/>
  <c r="E27" i="69"/>
  <c r="G27" i="69"/>
  <c r="F27" i="69"/>
  <c r="D12" i="68"/>
  <c r="E6" i="68"/>
  <c r="E12" i="68"/>
  <c r="F6" i="68"/>
  <c r="F12" i="68"/>
  <c r="G6" i="68"/>
  <c r="G12" i="68"/>
  <c r="H6" i="68"/>
  <c r="H12" i="68"/>
  <c r="I6" i="68"/>
  <c r="I12" i="68"/>
  <c r="J96" i="29"/>
  <c r="I96" i="29"/>
  <c r="D22" i="29"/>
  <c r="C34" i="69"/>
  <c r="D34" i="69"/>
  <c r="E34" i="69"/>
  <c r="F34" i="69"/>
  <c r="G34" i="69"/>
  <c r="H34" i="69"/>
  <c r="E14" i="69"/>
  <c r="C14" i="69"/>
  <c r="D14" i="69"/>
  <c r="F14" i="69"/>
  <c r="G14" i="69"/>
  <c r="C13" i="69"/>
  <c r="C15" i="69"/>
  <c r="B14" i="69"/>
  <c r="B13" i="69"/>
  <c r="B15" i="69"/>
  <c r="H14" i="69"/>
  <c r="D13" i="69"/>
  <c r="D15" i="69"/>
  <c r="E13" i="69"/>
  <c r="E15" i="69"/>
  <c r="F13" i="69"/>
  <c r="F15" i="69"/>
  <c r="G13" i="69"/>
  <c r="G15" i="69"/>
  <c r="H13" i="69"/>
  <c r="H15" i="69"/>
  <c r="C16" i="68"/>
  <c r="C33" i="69"/>
  <c r="D33" i="69"/>
  <c r="E33" i="69"/>
  <c r="F33" i="69"/>
  <c r="G33" i="69"/>
  <c r="H33" i="69"/>
  <c r="B53" i="21"/>
  <c r="B37" i="69"/>
  <c r="B39" i="69"/>
  <c r="C36" i="69"/>
  <c r="C37" i="69"/>
  <c r="C39" i="69"/>
  <c r="D36" i="69"/>
  <c r="D37" i="69"/>
  <c r="D39" i="69"/>
  <c r="E36" i="69"/>
  <c r="E37" i="69"/>
  <c r="E39" i="69"/>
  <c r="F36" i="69"/>
  <c r="F37" i="69"/>
  <c r="F39" i="69"/>
  <c r="G36" i="69"/>
  <c r="G37" i="69"/>
  <c r="G39" i="69"/>
  <c r="H36" i="69"/>
  <c r="H37" i="69"/>
  <c r="H39" i="69"/>
  <c r="H41" i="69"/>
  <c r="H43" i="69"/>
  <c r="I25" i="68"/>
  <c r="I29" i="68"/>
  <c r="I30" i="68"/>
  <c r="I31" i="68"/>
  <c r="H25" i="68"/>
  <c r="H29" i="68"/>
  <c r="H30" i="68"/>
  <c r="H31" i="68"/>
  <c r="G29" i="68"/>
  <c r="G30" i="68"/>
  <c r="G31" i="68"/>
  <c r="F29" i="68"/>
  <c r="F30" i="68"/>
  <c r="F31" i="68"/>
  <c r="E29" i="68"/>
  <c r="E30" i="68"/>
  <c r="E31" i="68"/>
  <c r="D29" i="68"/>
  <c r="D30" i="68"/>
  <c r="D31" i="68"/>
  <c r="C12" i="68"/>
  <c r="C29" i="68"/>
  <c r="C30" i="68"/>
  <c r="C31" i="68"/>
  <c r="C33" i="68"/>
  <c r="D32" i="68"/>
  <c r="D33" i="68"/>
  <c r="E32" i="68"/>
  <c r="E33" i="68"/>
  <c r="F32" i="68"/>
  <c r="F33" i="68"/>
  <c r="G32" i="68"/>
  <c r="G33" i="68"/>
  <c r="H32" i="68"/>
  <c r="H33" i="68"/>
  <c r="I32" i="68"/>
  <c r="I33" i="68"/>
  <c r="H8" i="69"/>
  <c r="H11" i="69"/>
  <c r="H20" i="69"/>
  <c r="H46" i="69"/>
  <c r="G28" i="69"/>
  <c r="G31" i="69"/>
  <c r="G41" i="69"/>
  <c r="G43" i="69"/>
  <c r="G8" i="69"/>
  <c r="G11" i="69"/>
  <c r="G20" i="69"/>
  <c r="G46" i="69"/>
  <c r="F28" i="69"/>
  <c r="F31" i="69"/>
  <c r="F41" i="69"/>
  <c r="F43" i="69"/>
  <c r="F8" i="69"/>
  <c r="F11" i="69"/>
  <c r="F20" i="69"/>
  <c r="F46" i="69"/>
  <c r="E28" i="69"/>
  <c r="E31" i="69"/>
  <c r="E41" i="69"/>
  <c r="E43" i="69"/>
  <c r="E8" i="69"/>
  <c r="E11" i="69"/>
  <c r="E20" i="69"/>
  <c r="E46" i="69"/>
  <c r="D28" i="69"/>
  <c r="D31" i="69"/>
  <c r="D41" i="69"/>
  <c r="D43" i="69"/>
  <c r="D8" i="69"/>
  <c r="D11" i="69"/>
  <c r="D20" i="69"/>
  <c r="D46" i="69"/>
  <c r="C28" i="69"/>
  <c r="C31" i="69"/>
  <c r="C41" i="69"/>
  <c r="C43" i="69"/>
  <c r="C8" i="69"/>
  <c r="C11" i="69"/>
  <c r="C20" i="69"/>
  <c r="C46" i="69"/>
  <c r="B28" i="69"/>
  <c r="B31" i="69"/>
  <c r="B41" i="69"/>
  <c r="B43" i="69"/>
  <c r="B8" i="69"/>
  <c r="B11" i="69"/>
  <c r="B20" i="69"/>
  <c r="B46" i="69"/>
  <c r="D9" i="29"/>
  <c r="D14" i="29"/>
  <c r="D15" i="29"/>
  <c r="E9" i="29"/>
  <c r="E14" i="29"/>
  <c r="E15" i="29"/>
  <c r="F9" i="29"/>
  <c r="F14" i="29"/>
  <c r="F15" i="29"/>
  <c r="G9" i="29"/>
  <c r="G14" i="29"/>
  <c r="G15" i="29"/>
  <c r="H9" i="29"/>
  <c r="H14" i="29"/>
  <c r="H15" i="29"/>
  <c r="I9" i="29"/>
  <c r="I14" i="29"/>
  <c r="I15" i="29"/>
  <c r="J9" i="29"/>
  <c r="J14" i="29"/>
  <c r="J15" i="29"/>
  <c r="C16" i="29"/>
  <c r="D18" i="29"/>
  <c r="D19" i="29"/>
  <c r="E18" i="29"/>
  <c r="E19" i="29"/>
  <c r="F18" i="29"/>
  <c r="F19" i="29"/>
  <c r="G18" i="29"/>
  <c r="G19" i="29"/>
  <c r="H18" i="29"/>
  <c r="H19" i="29"/>
  <c r="I18" i="29"/>
  <c r="I19" i="29"/>
  <c r="J18" i="29"/>
  <c r="J19" i="29"/>
  <c r="D20" i="29"/>
  <c r="F23" i="29"/>
  <c r="I95" i="29"/>
  <c r="I98" i="29"/>
  <c r="J95" i="29"/>
  <c r="J98" i="29"/>
  <c r="D95" i="29"/>
  <c r="D98" i="29"/>
  <c r="D99" i="29"/>
  <c r="E95" i="29"/>
  <c r="E98" i="29"/>
  <c r="E99" i="29"/>
  <c r="F95" i="29"/>
  <c r="F98" i="29"/>
  <c r="F99" i="29"/>
  <c r="G95" i="29"/>
  <c r="G98" i="29"/>
  <c r="G99" i="29"/>
  <c r="H95" i="29"/>
  <c r="H98" i="29"/>
  <c r="H99" i="29"/>
  <c r="C53" i="21"/>
  <c r="D53" i="21"/>
  <c r="E53" i="21"/>
  <c r="F53" i="21"/>
  <c r="G53" i="21"/>
  <c r="H53" i="21"/>
  <c r="C80" i="29"/>
  <c r="H80" i="29"/>
  <c r="I80" i="29"/>
  <c r="C82" i="29"/>
  <c r="C85" i="29"/>
  <c r="D29" i="62"/>
  <c r="D30" i="62"/>
  <c r="C58" i="29"/>
  <c r="C63" i="29"/>
  <c r="C67" i="29"/>
  <c r="D58" i="29"/>
  <c r="D63" i="29"/>
  <c r="D67" i="29"/>
  <c r="E58" i="29"/>
  <c r="E63" i="29"/>
  <c r="E67" i="29"/>
  <c r="F58" i="29"/>
  <c r="F63" i="29"/>
  <c r="F67" i="29"/>
  <c r="G58" i="29"/>
  <c r="G63" i="29"/>
  <c r="G67" i="29"/>
  <c r="H58" i="29"/>
  <c r="H63" i="29"/>
  <c r="H67" i="29"/>
  <c r="I58" i="29"/>
  <c r="I63" i="29"/>
  <c r="I67" i="29"/>
  <c r="C69" i="29"/>
  <c r="C73" i="29"/>
  <c r="D101" i="29"/>
  <c r="D32" i="62"/>
  <c r="H115" i="29"/>
  <c r="H117" i="29"/>
  <c r="I115" i="29"/>
  <c r="I117" i="29"/>
  <c r="D33" i="62"/>
  <c r="J40" i="21"/>
  <c r="J42" i="21"/>
</calcChain>
</file>

<file path=xl/sharedStrings.xml><?xml version="1.0" encoding="utf-8"?>
<sst xmlns="http://schemas.openxmlformats.org/spreadsheetml/2006/main" count="1447" uniqueCount="726">
  <si>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</si>
  <si>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</si>
  <si>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</si>
  <si>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</si>
  <si>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</si>
  <si>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</si>
  <si>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</si>
  <si>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</si>
  <si>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</si>
  <si>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</si>
  <si>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</si>
  <si>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</si>
  <si>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</si>
  <si>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</si>
  <si>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</si>
  <si>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</si>
  <si>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</si>
  <si>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</si>
  <si>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</si>
  <si>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</si>
  <si>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</si>
  <si>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</si>
  <si>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</si>
  <si>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</si>
  <si>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</si>
  <si>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</si>
  <si>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</si>
  <si>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</si>
  <si>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</si>
  <si>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</si>
  <si>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</si>
  <si>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</si>
  <si>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</si>
  <si>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</si>
  <si>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</si>
  <si>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</si>
  <si>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</si>
  <si>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</si>
  <si>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</si>
  <si>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</si>
  <si>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</si>
  <si>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</si>
  <si>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</si>
  <si>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</si>
  <si>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</si>
  <si>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</si>
  <si>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</si>
  <si>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</si>
  <si>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</si>
  <si>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</si>
  <si>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</si>
  <si>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</si>
  <si>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</si>
  <si>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</si>
  <si>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</si>
  <si>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</si>
  <si>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</si>
  <si>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</si>
  <si>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</si>
  <si>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</si>
  <si>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</si>
  <si>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</si>
  <si>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</si>
  <si>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</si>
  <si>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</si>
  <si>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</si>
  <si>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</si>
  <si>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</si>
  <si>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</si>
  <si>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</si>
  <si>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</si>
  <si>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</si>
  <si>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</si>
  <si>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</si>
  <si>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</si>
  <si>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</si>
  <si>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</si>
  <si>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</si>
  <si>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</si>
  <si>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</si>
  <si>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</si>
  <si>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</si>
  <si>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</si>
  <si>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</si>
  <si>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</si>
  <si>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</si>
  <si>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</si>
  <si>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</si>
  <si>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</si>
  <si>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</si>
  <si>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</si>
  <si>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</si>
  <si>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</si>
  <si>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</si>
  <si>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</si>
  <si>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</si>
  <si>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</si>
  <si>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</si>
  <si>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</si>
  <si>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</si>
  <si>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</si>
  <si>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</si>
  <si>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</si>
  <si>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</si>
  <si>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</si>
  <si>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</si>
  <si>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</si>
  <si>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</si>
  <si>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</si>
  <si>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</si>
  <si>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</si>
  <si>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</si>
  <si>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</si>
  <si>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</si>
  <si>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</si>
  <si>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</si>
  <si>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</si>
  <si>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</si>
  <si>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</si>
  <si>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</si>
  <si>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</si>
  <si>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</si>
  <si>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</si>
  <si>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</si>
  <si>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</si>
  <si>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</si>
  <si>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</si>
  <si>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</si>
  <si>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</si>
  <si>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</si>
  <si>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</si>
  <si>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</si>
  <si>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</si>
  <si>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</si>
  <si>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</si>
  <si>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</si>
  <si>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</si>
  <si>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</si>
  <si>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</si>
  <si>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</si>
  <si>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</si>
  <si>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</si>
  <si>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</si>
  <si>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</si>
  <si>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</si>
  <si>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</si>
  <si>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</si>
  <si>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</si>
  <si>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</si>
  <si>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</si>
  <si>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</si>
  <si>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</si>
  <si>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</si>
  <si>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</si>
  <si>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</si>
  <si>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</si>
  <si>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</si>
  <si>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</si>
  <si>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</si>
  <si>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</si>
  <si>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</si>
  <si>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</si>
  <si>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</si>
  <si>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</si>
  <si>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</si>
  <si>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</si>
  <si>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</si>
  <si>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</si>
  <si>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</si>
  <si>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</si>
  <si>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</si>
  <si>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</si>
  <si>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</si>
  <si>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</si>
  <si>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</si>
  <si>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</si>
  <si>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</si>
  <si>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</si>
  <si>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</si>
  <si>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</si>
  <si>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</si>
  <si>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</si>
  <si>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</si>
  <si>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</si>
  <si>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</si>
  <si>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</si>
  <si>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</si>
  <si>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</si>
  <si>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</si>
  <si>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</si>
  <si>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</si>
  <si>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</si>
  <si>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</si>
  <si>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</si>
  <si>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</si>
  <si>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</si>
  <si>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</si>
  <si>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</si>
  <si>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</si>
  <si>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</si>
  <si>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</si>
  <si>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</si>
  <si>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</si>
  <si>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</si>
  <si>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</si>
  <si>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</si>
  <si>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</si>
  <si>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</si>
  <si>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</si>
  <si>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</si>
  <si>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</si>
  <si>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</si>
  <si>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</si>
  <si>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</si>
  <si>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</si>
  <si>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</si>
  <si>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</si>
  <si>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</si>
  <si>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</si>
  <si>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</si>
  <si>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</si>
  <si>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</si>
  <si>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</si>
  <si>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</si>
  <si>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</si>
  <si>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</si>
  <si>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</si>
  <si>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</si>
  <si>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</si>
  <si>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</si>
  <si>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</si>
  <si>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</si>
  <si>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</si>
  <si>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</si>
  <si>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</si>
  <si>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</si>
  <si>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</si>
  <si>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</si>
  <si>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</si>
  <si>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</si>
  <si>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</si>
  <si>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</si>
  <si>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</si>
  <si>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</si>
  <si>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</si>
  <si>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</si>
  <si>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</si>
  <si>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</si>
  <si>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</si>
  <si>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</si>
  <si>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</si>
  <si>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</si>
  <si>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</si>
  <si>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</si>
  <si>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</si>
  <si>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</si>
  <si>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</si>
  <si>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</si>
  <si>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</si>
  <si>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</si>
  <si>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</si>
  <si>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</si>
  <si>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</si>
  <si>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</si>
  <si>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</si>
  <si>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</si>
  <si>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</si>
  <si>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</si>
  <si>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</si>
  <si>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</si>
  <si>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</si>
  <si>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</si>
  <si>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</si>
  <si>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</si>
  <si>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</si>
  <si>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</si>
  <si>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</si>
  <si>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</si>
  <si>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</si>
  <si>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</si>
  <si>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</si>
  <si>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</si>
  <si>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</si>
  <si>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</si>
  <si>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</si>
  <si>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</si>
  <si>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</si>
  <si>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</si>
  <si>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</si>
  <si>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</si>
  <si>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</si>
  <si>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</si>
  <si>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</si>
  <si>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</si>
  <si>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</si>
  <si>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</si>
  <si>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</si>
  <si>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</si>
  <si>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</si>
  <si>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</si>
  <si>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</si>
  <si>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</si>
  <si>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</si>
  <si>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</si>
  <si>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</si>
  <si>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</si>
  <si>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</si>
  <si>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</si>
  <si>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</si>
  <si>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</si>
  <si>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</si>
  <si>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</si>
  <si>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</si>
  <si>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</si>
  <si>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</si>
  <si>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</si>
  <si>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</si>
  <si>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</si>
  <si>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</si>
  <si>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</si>
  <si>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</si>
  <si>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</si>
  <si>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</si>
  <si>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</si>
  <si>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</si>
  <si>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</si>
  <si>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</si>
  <si>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</si>
  <si>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</si>
  <si>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</si>
  <si>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</si>
  <si>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</si>
  <si>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</si>
  <si>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</si>
  <si>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</si>
  <si>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</si>
  <si>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</si>
  <si>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</si>
  <si>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</si>
  <si>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</si>
  <si>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</si>
  <si>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</si>
  <si>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</si>
  <si>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</si>
  <si>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</si>
  <si>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</si>
  <si>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</si>
  <si>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</si>
  <si>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</si>
  <si>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</si>
  <si>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</si>
  <si>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</si>
  <si>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</si>
  <si>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</si>
  <si>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</si>
  <si>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</si>
  <si>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</si>
  <si>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</si>
  <si>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</si>
  <si>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</si>
  <si>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</si>
  <si>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</si>
  <si>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</si>
  <si>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</si>
  <si>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</si>
  <si>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</si>
  <si>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</si>
  <si>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</si>
  <si>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</si>
  <si>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</si>
  <si>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</si>
  <si>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</si>
  <si>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</si>
  <si>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</si>
  <si>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</si>
  <si>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</si>
  <si>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</si>
  <si>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</si>
  <si>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</si>
  <si>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</si>
  <si>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</si>
  <si>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</si>
  <si>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</si>
  <si>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</si>
  <si>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</si>
  <si>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</si>
  <si>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</si>
  <si>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</si>
  <si>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</si>
  <si>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</si>
  <si>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</si>
  <si>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</si>
  <si>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</si>
  <si>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</si>
  <si>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</si>
  <si>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</si>
  <si>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</si>
  <si>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</si>
  <si>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</si>
  <si>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</si>
  <si>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</si>
  <si>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</si>
  <si>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</si>
  <si>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</si>
  <si>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</si>
  <si>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</si>
  <si>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</si>
  <si>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</si>
  <si>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</si>
  <si>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</si>
  <si>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</si>
  <si>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</si>
  <si>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</si>
  <si>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</si>
  <si>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</si>
  <si>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</si>
  <si>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</si>
  <si>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</si>
  <si>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</si>
  <si>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</si>
  <si>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</si>
  <si>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</si>
  <si>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</si>
  <si>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</si>
  <si>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</si>
  <si>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</si>
  <si>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</si>
  <si>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</si>
  <si>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</si>
  <si>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</si>
  <si>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</si>
  <si>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</si>
  <si>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</si>
  <si>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</si>
  <si>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</si>
  <si>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</si>
  <si>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</si>
  <si>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</si>
  <si>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</si>
  <si>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</si>
  <si>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</si>
  <si>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</si>
  <si>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</si>
  <si>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</si>
  <si>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</si>
  <si>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</si>
  <si>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</si>
  <si>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</si>
  <si>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</si>
  <si>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</si>
  <si>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</si>
  <si>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</si>
  <si>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</si>
  <si>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</si>
  <si>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</si>
  <si>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</si>
  <si>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</si>
  <si>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</si>
  <si>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</si>
  <si>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</si>
  <si>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</si>
  <si>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</si>
  <si>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</si>
  <si>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</si>
  <si>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</si>
  <si>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</si>
  <si>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</si>
  <si>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</si>
  <si>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</si>
  <si>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</si>
  <si>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</si>
  <si>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</si>
  <si>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</si>
  <si>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</si>
  <si>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</si>
  <si>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</si>
  <si>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</si>
  <si>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</si>
  <si>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</si>
  <si>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</si>
  <si>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</si>
  <si>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</si>
  <si>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</si>
  <si>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</si>
  <si>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</si>
  <si>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</si>
  <si>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</si>
  <si>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</si>
  <si>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</si>
  <si>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</si>
  <si>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</si>
  <si>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</si>
  <si>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</si>
  <si>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</si>
  <si>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</si>
  <si>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</si>
  <si>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</si>
  <si>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</si>
  <si>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</si>
  <si>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</si>
  <si>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</si>
  <si>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</si>
  <si>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</si>
  <si>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</si>
  <si>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</si>
  <si>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</si>
  <si>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</si>
  <si>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</si>
  <si>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</si>
  <si>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</si>
  <si>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</si>
  <si>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</si>
  <si>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</si>
  <si>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</si>
  <si>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</si>
  <si>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</si>
  <si>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</si>
  <si>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</si>
  <si>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</si>
  <si>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</si>
  <si>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</si>
  <si>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</si>
  <si>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</si>
  <si>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</si>
  <si>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</si>
  <si>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</si>
  <si>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</si>
  <si>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</si>
  <si>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</si>
  <si>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</si>
  <si>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</si>
  <si>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</si>
  <si>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</si>
  <si>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</si>
  <si>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</si>
  <si>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</si>
  <si>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</si>
  <si>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</si>
  <si>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</si>
  <si>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</si>
  <si>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</si>
  <si>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</si>
  <si>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</si>
  <si>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</si>
  <si>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</si>
  <si>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</si>
  <si>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</si>
  <si>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</si>
  <si>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</si>
  <si>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</si>
  <si>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</si>
  <si>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</si>
  <si>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</si>
  <si>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</si>
  <si>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</si>
  <si>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</si>
  <si>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</si>
  <si>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</si>
  <si>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</si>
  <si>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</si>
  <si>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</si>
  <si>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</si>
  <si>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</si>
  <si>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</si>
  <si>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</si>
  <si>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</si>
  <si>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</si>
  <si>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</si>
  <si>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</si>
  <si>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</si>
  <si>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</si>
  <si>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</si>
  <si>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</si>
  <si>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</si>
  <si>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</si>
  <si>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</si>
  <si>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</si>
  <si>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</si>
  <si>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</si>
  <si>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</si>
  <si>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</si>
  <si>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</si>
  <si>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</si>
  <si>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</si>
  <si>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</si>
  <si>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</si>
  <si>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</si>
  <si>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</si>
  <si>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</si>
  <si>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</si>
  <si>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</si>
  <si>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</si>
  <si>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</si>
  <si>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</si>
  <si>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</si>
  <si>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</si>
  <si>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</si>
  <si>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</si>
  <si>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</si>
  <si>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</si>
  <si>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</si>
  <si>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</si>
  <si>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</si>
  <si>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</si>
  <si>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</si>
  <si>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</si>
  <si>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</si>
  <si>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</si>
  <si>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</si>
  <si>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</si>
  <si>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</si>
  <si>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</si>
  <si>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</si>
  <si>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</si>
  <si>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</si>
  <si>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</si>
  <si>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</si>
  <si>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</si>
  <si>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</si>
  <si>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</si>
  <si>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</si>
  <si>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</si>
  <si>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</si>
  <si>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</si>
  <si>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</si>
  <si>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</si>
  <si>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</si>
  <si>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</si>
  <si>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</si>
  <si>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</si>
  <si>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</si>
  <si>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</si>
  <si>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</si>
  <si>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</si>
  <si>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</si>
  <si>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</si>
  <si>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</si>
  <si>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</si>
  <si>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</si>
  <si>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</si>
  <si>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</si>
  <si>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</si>
  <si>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</si>
  <si>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</si>
  <si>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</si>
  <si>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</si>
  <si>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</si>
  <si>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</si>
  <si>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</si>
  <si>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</si>
  <si>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</si>
  <si>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</si>
  <si>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</si>
  <si>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</si>
  <si>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</si>
  <si>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</si>
  <si>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</si>
  <si>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</si>
  <si>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</si>
  <si>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</si>
  <si>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</si>
  <si>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</si>
  <si>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</si>
  <si>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</si>
  <si>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</si>
  <si>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</si>
  <si>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</si>
  <si>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</si>
  <si>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</si>
  <si>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</si>
  <si>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</si>
  <si>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</si>
  <si>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</si>
  <si>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</si>
  <si>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</si>
  <si>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</si>
  <si>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</si>
  <si>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</si>
  <si>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</si>
  <si>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</si>
  <si>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</si>
  <si>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</si>
  <si>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</si>
  <si>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</si>
  <si>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</si>
  <si>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</si>
  <si>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</si>
  <si>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</si>
  <si>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</si>
  <si>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</si>
  <si>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</si>
  <si>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</si>
  <si>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</si>
  <si>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</si>
  <si>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</si>
  <si>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</si>
  <si>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Crop Demonstration &amp; Trainings</t>
  </si>
  <si>
    <t>Faclitiy 1 - Trading</t>
  </si>
  <si>
    <t>CA/CS - Audit, Annual Compliance, Govt. Fees, Stamp Duty, Registration etc.</t>
  </si>
  <si>
    <t>Technical Consultancy, Consultant</t>
  </si>
  <si>
    <t>Wheat Flour</t>
  </si>
  <si>
    <t>100 Kg</t>
  </si>
  <si>
    <t>Flour (90%)</t>
  </si>
  <si>
    <t>Flour</t>
  </si>
  <si>
    <t>Maize Bharda</t>
  </si>
  <si>
    <t>Accountant/Clerk</t>
  </si>
  <si>
    <t>Means of Finance</t>
  </si>
  <si>
    <t>Nos</t>
  </si>
  <si>
    <t xml:space="preserve">13.2 Facility 2 - Profit and loss of Grain Processing Unit - Cleaning &amp; Grading </t>
  </si>
  <si>
    <t>Facility 2 - Grain Processing Unit - Dal Mill</t>
  </si>
  <si>
    <t>Job Work (20%)</t>
  </si>
  <si>
    <t>Green Gram Dal  (80%)</t>
  </si>
  <si>
    <t>Black Gram Dal (80%)</t>
  </si>
  <si>
    <t>CHANA Dal 80%</t>
  </si>
  <si>
    <t>Red Gram Dal (80%)</t>
  </si>
  <si>
    <t>Red Gram Husk</t>
  </si>
  <si>
    <t>Green  Gram Husk</t>
  </si>
  <si>
    <t>Black Gram Husk</t>
  </si>
  <si>
    <t>Chana Husk</t>
  </si>
  <si>
    <t>Pulses</t>
  </si>
  <si>
    <t>Faclitiy 2 - Processing Unit- Dal Mill</t>
  </si>
  <si>
    <t>Shed for Processing Unit 
(Dal Mill &amp; Cleaning Grading, Sortex ) 
(5000 Sq. ft. X 1300 Rs.)</t>
  </si>
  <si>
    <t>Godown (3000 Sq. ft.) (500 MT)</t>
  </si>
  <si>
    <t>500 MT</t>
  </si>
  <si>
    <t>Dal Mill Plant with Colour Sorter (1 TPH)</t>
  </si>
  <si>
    <t>1 TPH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</si>
</sst>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_(* \(#,##0.00\);_(* &quot;-&quot;??_);_(@_)"/>
    <numFmt numFmtId="164" formatCode="&quot;Rs.&quot;\ #,##0.00;[Red]&quot;Rs.&quot;\ \-#,##0.00"/>
    <numFmt numFmtId="165" formatCode="_ * #,##0.00_ ;_ * \-#,##0.00_ ;_ * &quot;-&quot;??_ ;_ @_ "/>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9">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
      <b/>
      <sz val="9"/>
      <color rgb="FF000000"/>
      <name val="Times New Roman"/>
      <family val="1"/>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5" fontId="18" fillId="0" borderId="0" applyFont="0" applyFill="0" applyBorder="0" applyAlignment="0" applyProtection="0"/>
  </cellStyleXfs>
  <cellXfs count="431">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165"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165" fontId="4" fillId="0" borderId="1" xfId="10" applyFont="1" applyFill="1" applyBorder="1"/>
    <xf numFmtId="171" fontId="4" fillId="0" borderId="1" xfId="10" applyNumberFormat="1" applyFont="1" applyFill="1" applyBorder="1"/>
    <xf numFmtId="0" fontId="6" fillId="0" borderId="1" xfId="0" applyFont="1" applyBorder="1"/>
    <xf numFmtId="43" fontId="6" fillId="0" borderId="1" xfId="10" applyNumberFormat="1" applyFont="1" applyFill="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165" fontId="27" fillId="0" borderId="0" xfId="0" applyNumberFormat="1" applyFont="1"/>
    <xf numFmtId="1" fontId="27" fillId="0" borderId="0" xfId="0" applyNumberFormat="1" applyFont="1"/>
    <xf numFmtId="9" fontId="27" fillId="0" borderId="1" xfId="0" applyNumberFormat="1" applyFont="1" applyBorder="1"/>
    <xf numFmtId="165"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4"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9" fontId="44" fillId="7"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43" fontId="0" fillId="0" borderId="0" xfId="0" applyNumberFormat="1"/>
    <xf numFmtId="169" fontId="41" fillId="6" borderId="1" xfId="2" applyNumberFormat="1" applyFont="1" applyFill="1" applyBorder="1" applyAlignment="1">
      <alignment horizontal="right" vertical="center" wrapText="1"/>
    </xf>
    <xf numFmtId="0" fontId="41" fillId="6" borderId="1" xfId="0" applyFont="1" applyFill="1" applyBorder="1" applyAlignment="1">
      <alignment horizontal="left" vertical="center" wrapText="1"/>
    </xf>
    <xf numFmtId="43" fontId="27" fillId="0" borderId="1" xfId="2" applyFont="1" applyBorder="1"/>
    <xf numFmtId="169" fontId="68" fillId="0" borderId="1" xfId="2" applyNumberFormat="1" applyFont="1" applyBorder="1" applyAlignment="1">
      <alignment horizontal="center" vertical="center" wrapText="1"/>
    </xf>
    <xf numFmtId="0" fontId="58" fillId="0" borderId="1" xfId="0" applyFont="1" applyBorder="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2">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zoomScale="60" workbookViewId="0">
      <selection sqref="A1:E1"/>
    </sheetView>
  </sheetViews>
  <sheetFormatPr defaultColWidth="9.140625" defaultRowHeight="15"/>
  <cols>
    <col min="1" max="1" width="12.85546875" style="324" customWidth="1"/>
    <col min="2" max="2" width="56" style="324" customWidth="1"/>
    <col min="3" max="3" width="26.28515625" style="324" customWidth="1"/>
    <col min="4" max="4" width="20.7109375" style="324" customWidth="1"/>
    <col min="5" max="5" width="29.42578125" style="324" customWidth="1"/>
    <col min="6" max="16384" width="9.140625" style="324"/>
  </cols>
  <sheetData>
    <row r="1" spans="1:5" ht="26.25" customHeight="1">
      <c r="A1" s="343" t="s">
        <v>654</v>
      </c>
      <c r="B1" s="343"/>
      <c r="C1" s="343"/>
      <c r="D1" s="343"/>
      <c r="E1" s="343"/>
    </row>
    <row r="2" spans="1:5" ht="26.25" customHeight="1">
      <c r="A2" s="344" t="s">
        <v>650</v>
      </c>
      <c r="B2" s="344"/>
      <c r="C2" s="344"/>
      <c r="D2" s="344"/>
      <c r="E2" s="344"/>
    </row>
    <row r="3" spans="1:5" ht="23.25" customHeight="1">
      <c r="A3" s="345" t="s">
        <v>621</v>
      </c>
      <c r="B3" s="345"/>
      <c r="C3" s="345"/>
      <c r="D3" s="345"/>
      <c r="E3" s="345"/>
    </row>
    <row r="4" spans="1:5" ht="240.75" customHeight="1">
      <c r="A4" s="346" t="s">
        <v>655</v>
      </c>
      <c r="B4" s="346"/>
      <c r="C4" s="346"/>
      <c r="D4" s="346"/>
      <c r="E4" s="346"/>
    </row>
    <row r="5" spans="1:5" ht="23.25" customHeight="1">
      <c r="A5" s="345" t="s">
        <v>622</v>
      </c>
      <c r="B5" s="345"/>
      <c r="C5" s="345"/>
      <c r="D5" s="345"/>
      <c r="E5" s="345"/>
    </row>
    <row r="6" spans="1:5" ht="108" customHeight="1">
      <c r="A6" s="353" t="s">
        <v>693</v>
      </c>
      <c r="B6" s="354"/>
      <c r="C6" s="354"/>
      <c r="D6" s="354"/>
      <c r="E6" s="355"/>
    </row>
    <row r="7" spans="1:5" ht="23.25" customHeight="1">
      <c r="A7" s="356" t="s">
        <v>656</v>
      </c>
      <c r="B7" s="356"/>
      <c r="C7" s="356"/>
      <c r="D7" s="356"/>
      <c r="E7" s="356"/>
    </row>
    <row r="8" spans="1:5" ht="125.25" customHeight="1">
      <c r="A8" s="346" t="s">
        <v>692</v>
      </c>
      <c r="B8" s="346"/>
      <c r="C8" s="346"/>
      <c r="D8" s="346"/>
      <c r="E8" s="346"/>
    </row>
    <row r="9" spans="1:5" ht="23.25">
      <c r="A9" s="345" t="s">
        <v>647</v>
      </c>
      <c r="B9" s="345"/>
      <c r="C9" s="345"/>
      <c r="D9" s="345"/>
      <c r="E9" s="345"/>
    </row>
    <row r="10" spans="1:5">
      <c r="A10" s="324" t="s">
        <v>623</v>
      </c>
      <c r="B10" s="324" t="s">
        <v>150</v>
      </c>
    </row>
    <row r="11" spans="1:5" ht="20.25" customHeight="1">
      <c r="A11" s="327"/>
      <c r="B11" s="357" t="s">
        <v>411</v>
      </c>
      <c r="C11" s="358"/>
      <c r="D11" s="358"/>
      <c r="E11" s="359"/>
    </row>
    <row r="12" spans="1:5">
      <c r="A12" s="328"/>
      <c r="B12" s="347" t="s">
        <v>412</v>
      </c>
      <c r="C12" s="347"/>
      <c r="D12" s="347"/>
      <c r="E12" s="347"/>
    </row>
    <row r="13" spans="1:5">
      <c r="A13" s="348"/>
      <c r="B13" s="348"/>
      <c r="C13" s="348"/>
      <c r="D13" s="348"/>
      <c r="E13" s="349"/>
    </row>
    <row r="14" spans="1:5" ht="23.25">
      <c r="A14" s="345" t="s">
        <v>648</v>
      </c>
      <c r="B14" s="345"/>
      <c r="C14" s="345"/>
      <c r="D14" s="345"/>
      <c r="E14" s="345"/>
    </row>
    <row r="15" spans="1:5">
      <c r="A15" s="325" t="s">
        <v>619</v>
      </c>
      <c r="B15" s="325" t="s">
        <v>657</v>
      </c>
      <c r="C15" s="325" t="s">
        <v>459</v>
      </c>
      <c r="D15" s="325" t="s">
        <v>627</v>
      </c>
      <c r="E15" s="325" t="s">
        <v>620</v>
      </c>
    </row>
    <row r="16" spans="1:5">
      <c r="A16" s="331" t="s">
        <v>173</v>
      </c>
      <c r="B16" s="331" t="s">
        <v>658</v>
      </c>
      <c r="C16" s="331"/>
      <c r="D16" s="331"/>
      <c r="E16" s="331"/>
    </row>
    <row r="17" spans="1:5" ht="60">
      <c r="A17" s="332" t="s">
        <v>637</v>
      </c>
      <c r="B17" s="326" t="s">
        <v>644</v>
      </c>
      <c r="C17" s="326" t="s">
        <v>689</v>
      </c>
      <c r="D17" s="326" t="s">
        <v>659</v>
      </c>
      <c r="E17" s="326"/>
    </row>
    <row r="18" spans="1:5" ht="90">
      <c r="A18" s="332" t="s">
        <v>638</v>
      </c>
      <c r="B18" s="326" t="s">
        <v>624</v>
      </c>
      <c r="C18" s="326" t="s">
        <v>690</v>
      </c>
      <c r="D18" s="326" t="s">
        <v>660</v>
      </c>
      <c r="E18" s="326"/>
    </row>
    <row r="19" spans="1:5" ht="26.25" customHeight="1">
      <c r="A19" s="332" t="s">
        <v>639</v>
      </c>
      <c r="B19" s="282" t="s">
        <v>651</v>
      </c>
      <c r="C19" s="326" t="s">
        <v>661</v>
      </c>
      <c r="D19" s="326" t="s">
        <v>662</v>
      </c>
      <c r="E19" s="326" t="s">
        <v>649</v>
      </c>
    </row>
    <row r="20" spans="1:5" ht="30">
      <c r="A20" s="332" t="s">
        <v>640</v>
      </c>
      <c r="B20" s="326" t="s">
        <v>691</v>
      </c>
      <c r="C20" s="326"/>
      <c r="D20" s="326"/>
      <c r="E20" s="326"/>
    </row>
    <row r="21" spans="1:5">
      <c r="A21" s="326">
        <v>4.0999999999999996</v>
      </c>
      <c r="B21" s="326" t="s">
        <v>631</v>
      </c>
      <c r="C21" s="350" t="s">
        <v>663</v>
      </c>
      <c r="D21" s="326" t="s">
        <v>664</v>
      </c>
      <c r="E21" s="326"/>
    </row>
    <row r="22" spans="1:5" ht="30">
      <c r="A22" s="326">
        <v>4.2</v>
      </c>
      <c r="B22" s="326" t="s">
        <v>635</v>
      </c>
      <c r="C22" s="351"/>
      <c r="D22" s="326" t="s">
        <v>665</v>
      </c>
      <c r="E22" s="326"/>
    </row>
    <row r="23" spans="1:5">
      <c r="A23" s="326">
        <v>4.3</v>
      </c>
      <c r="B23" s="326" t="s">
        <v>632</v>
      </c>
      <c r="C23" s="351"/>
      <c r="D23" s="326" t="s">
        <v>666</v>
      </c>
      <c r="E23" s="326"/>
    </row>
    <row r="24" spans="1:5">
      <c r="A24" s="326">
        <v>4.4000000000000004</v>
      </c>
      <c r="B24" s="326" t="s">
        <v>633</v>
      </c>
      <c r="C24" s="351"/>
      <c r="D24" s="326" t="s">
        <v>667</v>
      </c>
      <c r="E24" s="326"/>
    </row>
    <row r="25" spans="1:5">
      <c r="A25" s="326">
        <v>4.5</v>
      </c>
      <c r="B25" s="326" t="s">
        <v>634</v>
      </c>
      <c r="C25" s="351"/>
      <c r="D25" s="326" t="s">
        <v>668</v>
      </c>
      <c r="E25" s="326"/>
    </row>
    <row r="26" spans="1:5">
      <c r="A26" s="326">
        <v>4.5999999999999996</v>
      </c>
      <c r="B26" s="326" t="s">
        <v>636</v>
      </c>
      <c r="C26" s="352"/>
      <c r="D26" s="326" t="s">
        <v>669</v>
      </c>
      <c r="E26" s="326"/>
    </row>
    <row r="27" spans="1:5" ht="45">
      <c r="A27" s="332" t="s">
        <v>641</v>
      </c>
      <c r="B27" s="326" t="s">
        <v>625</v>
      </c>
      <c r="C27" s="326" t="s">
        <v>670</v>
      </c>
      <c r="D27" s="326" t="s">
        <v>695</v>
      </c>
      <c r="E27" s="326"/>
    </row>
    <row r="28" spans="1:5" ht="60">
      <c r="A28" s="332" t="s">
        <v>642</v>
      </c>
      <c r="B28" s="326" t="s">
        <v>671</v>
      </c>
      <c r="C28" s="326" t="s">
        <v>672</v>
      </c>
      <c r="D28" s="326" t="s">
        <v>673</v>
      </c>
      <c r="E28" s="326"/>
    </row>
    <row r="29" spans="1:5" ht="45">
      <c r="A29" s="332" t="s">
        <v>643</v>
      </c>
      <c r="B29" s="326" t="s">
        <v>626</v>
      </c>
      <c r="C29" s="326" t="s">
        <v>674</v>
      </c>
      <c r="D29" s="326" t="s">
        <v>675</v>
      </c>
      <c r="E29" s="326"/>
    </row>
    <row r="30" spans="1:5">
      <c r="A30" s="331" t="s">
        <v>174</v>
      </c>
      <c r="B30" s="333" t="s">
        <v>676</v>
      </c>
      <c r="C30" s="331"/>
      <c r="D30" s="331"/>
      <c r="E30" s="331"/>
    </row>
    <row r="31" spans="1:5" ht="26.25" customHeight="1">
      <c r="A31" s="334" t="s">
        <v>677</v>
      </c>
      <c r="B31" s="326" t="s">
        <v>628</v>
      </c>
      <c r="C31" s="326"/>
      <c r="D31" s="326" t="s">
        <v>678</v>
      </c>
      <c r="E31" s="326" t="s">
        <v>649</v>
      </c>
    </row>
    <row r="32" spans="1:5">
      <c r="A32" s="334" t="s">
        <v>679</v>
      </c>
      <c r="B32" s="326" t="s">
        <v>629</v>
      </c>
      <c r="C32" s="326"/>
      <c r="D32" s="326" t="s">
        <v>680</v>
      </c>
      <c r="E32" s="326" t="s">
        <v>649</v>
      </c>
    </row>
    <row r="33" spans="1:5">
      <c r="A33" s="334" t="s">
        <v>681</v>
      </c>
      <c r="B33" s="326" t="s">
        <v>630</v>
      </c>
      <c r="C33" s="326"/>
      <c r="D33" s="326" t="s">
        <v>682</v>
      </c>
      <c r="E33" s="326" t="s">
        <v>649</v>
      </c>
    </row>
    <row r="34" spans="1:5" ht="35.25" customHeight="1">
      <c r="A34" s="334" t="s">
        <v>683</v>
      </c>
      <c r="B34" s="326" t="s">
        <v>645</v>
      </c>
      <c r="C34" s="326"/>
      <c r="D34" s="326" t="s">
        <v>684</v>
      </c>
      <c r="E34" s="326" t="s">
        <v>649</v>
      </c>
    </row>
    <row r="35" spans="1:5" ht="35.25" customHeight="1">
      <c r="A35" s="334" t="s">
        <v>685</v>
      </c>
      <c r="B35" s="326" t="s">
        <v>686</v>
      </c>
      <c r="C35" s="326"/>
      <c r="D35" s="326" t="s">
        <v>694</v>
      </c>
      <c r="E35" s="326" t="s">
        <v>649</v>
      </c>
    </row>
    <row r="36" spans="1:5">
      <c r="A36" s="332" t="s">
        <v>687</v>
      </c>
      <c r="B36" s="326" t="s">
        <v>688</v>
      </c>
      <c r="C36" s="326"/>
      <c r="D36" s="326"/>
      <c r="E36" s="326"/>
    </row>
    <row r="37" spans="1:5" ht="21">
      <c r="A37" s="342"/>
      <c r="B37" s="342"/>
      <c r="C37" s="342"/>
      <c r="D37" s="342"/>
      <c r="E37" s="342"/>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60"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tabSelected="1" view="pageBreakPreview" topLeftCell="A170" zoomScale="115" zoomScaleSheetLayoutView="115" workbookViewId="0"/>
  </sheetViews>
  <sheetFormatPr defaultRowHeight="15"/>
  <cols>
    <col min="2" max="2" width="32.7109375" bestFit="1" customWidth="1"/>
    <col min="3" max="4" width="18.42578125" customWidth="1"/>
    <col min="5" max="5" width="16.85546875" customWidth="1"/>
    <col min="6" max="6" width="16.5703125" customWidth="1"/>
    <col min="7" max="7" width="17.140625" customWidth="1"/>
    <col min="8" max="8" width="17.42578125" customWidth="1"/>
    <col min="9" max="9" width="19.28515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07" t="s">
        <v>572</v>
      </c>
      <c r="C5" s="407"/>
      <c r="D5" s="407"/>
      <c r="E5" s="407"/>
      <c r="F5" s="407"/>
      <c r="G5" s="407"/>
      <c r="H5" s="407"/>
      <c r="I5" s="407"/>
      <c r="J5" s="407"/>
    </row>
    <row r="6" spans="2:12" ht="16.5">
      <c r="B6" s="7"/>
      <c r="C6" s="7"/>
      <c r="D6" s="7"/>
      <c r="E6" s="7"/>
      <c r="F6" s="7"/>
      <c r="G6" s="7"/>
      <c r="H6" s="7"/>
      <c r="I6" s="7"/>
      <c r="J6" s="7"/>
    </row>
    <row r="7" spans="2:12" ht="15.75">
      <c r="B7" s="70" t="s">
        <v>29</v>
      </c>
      <c r="C7" s="71" t="s">
        <v>338</v>
      </c>
      <c r="D7" s="71" t="s">
        <v>2</v>
      </c>
      <c r="E7" s="71" t="s">
        <v>3</v>
      </c>
      <c r="F7" s="71" t="s">
        <v>4</v>
      </c>
      <c r="G7" s="71" t="s">
        <v>5</v>
      </c>
      <c r="H7" s="71" t="s">
        <v>6</v>
      </c>
      <c r="I7" s="71" t="s">
        <v>169</v>
      </c>
      <c r="J7" s="71" t="s">
        <v>168</v>
      </c>
      <c r="L7" s="329"/>
    </row>
    <row r="8" spans="2:12">
      <c r="B8" s="60"/>
      <c r="C8" s="60"/>
      <c r="D8" s="60"/>
      <c r="E8" s="60"/>
      <c r="F8" s="60"/>
      <c r="G8" s="60"/>
      <c r="H8" s="60"/>
      <c r="I8" s="60"/>
      <c r="J8" s="60"/>
    </row>
    <row r="9" spans="2:12">
      <c r="B9" s="60" t="s">
        <v>30</v>
      </c>
      <c r="C9" s="60"/>
      <c r="D9" s="72">
        <f>'6.Cons Profit &amp; Loss'!B51</f>
        <v>2387183.7826762134</v>
      </c>
      <c r="E9" s="72">
        <f>'6.Cons Profit &amp; Loss'!C51</f>
        <v>3204794.2164368168</v>
      </c>
      <c r="F9" s="72">
        <f>'6.Cons Profit &amp; Loss'!D51</f>
        <v>3933477.5872184578</v>
      </c>
      <c r="G9" s="72">
        <f>'6.Cons Profit &amp; Loss'!E51</f>
        <v>4748514.3990639187</v>
      </c>
      <c r="H9" s="72">
        <f>'6.Cons Profit &amp; Loss'!F51</f>
        <v>5654233.0011587171</v>
      </c>
      <c r="I9" s="72">
        <f>'6.Cons Profit &amp; Loss'!G51</f>
        <v>6812490.6647660546</v>
      </c>
      <c r="J9" s="72">
        <f>'6.Cons Profit &amp; Loss'!H51</f>
        <v>7884473.9833265031</v>
      </c>
    </row>
    <row r="10" spans="2:12">
      <c r="B10" s="60"/>
      <c r="C10" s="60"/>
      <c r="D10" s="72"/>
      <c r="E10" s="72"/>
      <c r="F10" s="72"/>
      <c r="G10" s="72"/>
      <c r="H10" s="72"/>
      <c r="I10" s="72"/>
      <c r="J10" s="72"/>
    </row>
    <row r="11" spans="2:12">
      <c r="B11" s="63" t="s">
        <v>31</v>
      </c>
      <c r="C11" s="63"/>
      <c r="D11" s="72">
        <f>'6.Cons Profit &amp; Loss'!B42</f>
        <v>1174589.2039999999</v>
      </c>
      <c r="E11" s="72">
        <f>'6.Cons Profit &amp; Loss'!C42</f>
        <v>1174589.2039999999</v>
      </c>
      <c r="F11" s="72">
        <f>'6.Cons Profit &amp; Loss'!D42</f>
        <v>1174589.2039999999</v>
      </c>
      <c r="G11" s="72">
        <f>'6.Cons Profit &amp; Loss'!E42</f>
        <v>1174589.2039999999</v>
      </c>
      <c r="H11" s="72">
        <f>'6.Cons Profit &amp; Loss'!F42</f>
        <v>1174589.2039999999</v>
      </c>
      <c r="I11" s="72">
        <f>'6.Cons Profit &amp; Loss'!G42</f>
        <v>1174589.2039999999</v>
      </c>
      <c r="J11" s="72">
        <f>'6.Cons Profit &amp; Loss'!H42</f>
        <v>1174589.2039999999</v>
      </c>
    </row>
    <row r="12" spans="2:12">
      <c r="B12" s="60" t="s">
        <v>36</v>
      </c>
      <c r="C12" s="60"/>
      <c r="D12" s="72">
        <f>'6.Cons Profit &amp; Loss'!B43</f>
        <v>250000</v>
      </c>
      <c r="E12" s="72">
        <f>'6.Cons Profit &amp; Loss'!C43</f>
        <v>250000</v>
      </c>
      <c r="F12" s="72">
        <f>'6.Cons Profit &amp; Loss'!D43</f>
        <v>250000</v>
      </c>
      <c r="G12" s="72">
        <f>'6.Cons Profit &amp; Loss'!E43</f>
        <v>250000</v>
      </c>
      <c r="H12" s="72">
        <f>'6.Cons Profit &amp; Loss'!F43</f>
        <v>250000</v>
      </c>
      <c r="I12" s="72">
        <f>'6.Cons Profit &amp; Loss'!G43</f>
        <v>0</v>
      </c>
      <c r="J12" s="72">
        <f>'6.Cons Profit &amp; Loss'!H43</f>
        <v>0</v>
      </c>
    </row>
    <row r="13" spans="2:12">
      <c r="B13" s="60"/>
      <c r="C13" s="60"/>
      <c r="D13" s="60"/>
      <c r="E13" s="60"/>
      <c r="F13" s="60"/>
      <c r="G13" s="60"/>
      <c r="H13" s="60"/>
      <c r="I13" s="60"/>
      <c r="J13" s="60"/>
    </row>
    <row r="14" spans="2:12">
      <c r="B14" s="60" t="s">
        <v>32</v>
      </c>
      <c r="C14" s="60"/>
      <c r="D14" s="72">
        <f>SUM(D9:D12)</f>
        <v>3811772.9866762133</v>
      </c>
      <c r="E14" s="72">
        <f t="shared" ref="E14:J14" si="0">SUM(E9:E12)</f>
        <v>4629383.4204368163</v>
      </c>
      <c r="F14" s="72">
        <f t="shared" si="0"/>
        <v>5358066.7912184577</v>
      </c>
      <c r="G14" s="72">
        <f t="shared" si="0"/>
        <v>6173103.6030639187</v>
      </c>
      <c r="H14" s="72">
        <f t="shared" si="0"/>
        <v>7078822.205158717</v>
      </c>
      <c r="I14" s="72">
        <f t="shared" si="0"/>
        <v>7987079.8687660545</v>
      </c>
      <c r="J14" s="72">
        <f t="shared" si="0"/>
        <v>9059063.1873265021</v>
      </c>
    </row>
    <row r="15" spans="2:12">
      <c r="B15" s="60" t="s">
        <v>347</v>
      </c>
      <c r="C15" s="73">
        <f>-'1.Project Cost and MOF'!D12</f>
        <v>-27754144.192819286</v>
      </c>
      <c r="D15" s="72">
        <f>D14</f>
        <v>3811772.9866762133</v>
      </c>
      <c r="E15" s="72">
        <f t="shared" ref="E15:J15" si="1">E14</f>
        <v>4629383.4204368163</v>
      </c>
      <c r="F15" s="72">
        <f t="shared" si="1"/>
        <v>5358066.7912184577</v>
      </c>
      <c r="G15" s="72">
        <f t="shared" si="1"/>
        <v>6173103.6030639187</v>
      </c>
      <c r="H15" s="72">
        <f t="shared" si="1"/>
        <v>7078822.205158717</v>
      </c>
      <c r="I15" s="72">
        <f t="shared" si="1"/>
        <v>7987079.8687660545</v>
      </c>
      <c r="J15" s="72">
        <f t="shared" si="1"/>
        <v>9059063.1873265021</v>
      </c>
    </row>
    <row r="16" spans="2:12">
      <c r="B16" s="60" t="s">
        <v>281</v>
      </c>
      <c r="C16" s="239">
        <f>IRR(C15:J15)</f>
        <v>0.11246247786861141</v>
      </c>
      <c r="D16" s="72"/>
      <c r="E16" s="72"/>
      <c r="F16" s="72"/>
      <c r="G16" s="72"/>
      <c r="H16" s="72"/>
      <c r="I16" s="72"/>
      <c r="J16" s="72"/>
    </row>
    <row r="17" spans="2:19">
      <c r="B17" s="60"/>
      <c r="C17" s="60"/>
      <c r="D17" s="60"/>
      <c r="E17" s="60"/>
      <c r="F17" s="60"/>
      <c r="G17" s="60"/>
      <c r="H17" s="60"/>
      <c r="I17" s="60"/>
      <c r="J17" s="60"/>
    </row>
    <row r="18" spans="2:19" ht="16.5">
      <c r="B18" s="240" t="s">
        <v>414</v>
      </c>
      <c r="C18" s="240"/>
      <c r="D18" s="241">
        <f>1/(1+$C$16)</f>
        <v>0.8989067226032823</v>
      </c>
      <c r="E18" s="242">
        <f t="shared" ref="E18:J18" si="2">D18/(1+$C$16)</f>
        <v>0.80803329594137441</v>
      </c>
      <c r="F18" s="242">
        <f t="shared" si="2"/>
        <v>0.72634656180898904</v>
      </c>
      <c r="G18" s="242">
        <f t="shared" si="2"/>
        <v>0.65291780734988081</v>
      </c>
      <c r="H18" s="242">
        <f t="shared" si="2"/>
        <v>0.5869122063342026</v>
      </c>
      <c r="I18" s="242">
        <f t="shared" si="2"/>
        <v>0.52757932785173944</v>
      </c>
      <c r="J18" s="242">
        <f t="shared" si="2"/>
        <v>0.47424460451244971</v>
      </c>
      <c r="L18" s="14"/>
      <c r="M18" s="14"/>
      <c r="N18" s="14"/>
      <c r="O18" s="14"/>
      <c r="P18" s="14"/>
      <c r="Q18" s="14"/>
      <c r="R18" s="14"/>
      <c r="S18" s="14"/>
    </row>
    <row r="19" spans="2:19">
      <c r="B19" s="60" t="s">
        <v>33</v>
      </c>
      <c r="C19" s="60"/>
      <c r="D19" s="72">
        <f t="shared" ref="D19:J19" si="3">D14*D18</f>
        <v>3426428.36276084</v>
      </c>
      <c r="E19" s="72">
        <f t="shared" si="3"/>
        <v>3740695.943391914</v>
      </c>
      <c r="F19" s="72">
        <f t="shared" si="3"/>
        <v>3891813.3917444493</v>
      </c>
      <c r="G19" s="72">
        <f t="shared" si="3"/>
        <v>4030529.2690561428</v>
      </c>
      <c r="H19" s="72">
        <f t="shared" si="3"/>
        <v>4154647.1586772478</v>
      </c>
      <c r="I19" s="72">
        <f t="shared" si="3"/>
        <v>4213818.2286617542</v>
      </c>
      <c r="J19" s="72">
        <f t="shared" si="3"/>
        <v>4296211.8385269493</v>
      </c>
      <c r="L19" s="6"/>
    </row>
    <row r="20" spans="2:19">
      <c r="B20" s="60" t="s">
        <v>34</v>
      </c>
      <c r="C20" s="60"/>
      <c r="D20" s="402">
        <f>SUM(D19:J19)</f>
        <v>27754144.192819297</v>
      </c>
      <c r="E20" s="402"/>
      <c r="F20" s="402"/>
      <c r="G20" s="402"/>
      <c r="H20" s="402"/>
      <c r="I20" s="402"/>
      <c r="J20" s="402"/>
      <c r="L20" s="6"/>
    </row>
    <row r="21" spans="2:19">
      <c r="B21" s="60"/>
      <c r="C21" s="60"/>
      <c r="D21" s="72"/>
      <c r="E21" s="72"/>
      <c r="F21" s="72"/>
      <c r="G21" s="72"/>
      <c r="H21" s="72"/>
      <c r="I21" s="72"/>
      <c r="J21" s="72"/>
    </row>
    <row r="22" spans="2:19">
      <c r="B22" s="8" t="s">
        <v>35</v>
      </c>
      <c r="C22" s="8"/>
      <c r="D22" s="403">
        <f>'1.Project Cost and MOF'!D12</f>
        <v>27754144.192819286</v>
      </c>
      <c r="E22" s="403"/>
      <c r="F22" s="403"/>
      <c r="G22" s="403"/>
      <c r="H22" s="403"/>
      <c r="I22" s="403"/>
      <c r="J22" s="403"/>
    </row>
    <row r="23" spans="2:19">
      <c r="F23" s="14">
        <f>D20-D22</f>
        <v>0</v>
      </c>
    </row>
    <row r="24" spans="2:19" ht="29.45" customHeight="1">
      <c r="B24" s="408" t="s">
        <v>432</v>
      </c>
      <c r="C24" s="408"/>
      <c r="D24" s="408"/>
      <c r="E24" s="408"/>
      <c r="F24" s="408"/>
      <c r="G24" s="408"/>
      <c r="H24" s="408"/>
      <c r="I24" s="408"/>
      <c r="J24" s="408"/>
    </row>
    <row r="25" spans="2:19">
      <c r="K25" s="14"/>
      <c r="L25" s="14"/>
      <c r="M25" s="14"/>
    </row>
    <row r="26" spans="2:19" ht="18.75">
      <c r="B26" s="362" t="s">
        <v>573</v>
      </c>
      <c r="C26" s="362"/>
      <c r="D26" s="362"/>
      <c r="E26" s="362"/>
      <c r="F26" s="362"/>
      <c r="G26" s="362"/>
      <c r="H26" s="362"/>
      <c r="I26" s="362"/>
    </row>
    <row r="27" spans="2:19">
      <c r="K27" s="14"/>
    </row>
    <row r="28" spans="2:19">
      <c r="B28" s="93" t="s">
        <v>0</v>
      </c>
      <c r="C28" s="84" t="s">
        <v>2</v>
      </c>
      <c r="D28" s="84" t="s">
        <v>3</v>
      </c>
      <c r="E28" s="84" t="s">
        <v>4</v>
      </c>
      <c r="F28" s="84" t="s">
        <v>5</v>
      </c>
      <c r="G28" s="84" t="s">
        <v>6</v>
      </c>
      <c r="H28" s="84" t="s">
        <v>169</v>
      </c>
      <c r="I28" s="84" t="s">
        <v>168</v>
      </c>
    </row>
    <row r="29" spans="2:19">
      <c r="B29" s="77"/>
      <c r="C29" s="77"/>
      <c r="D29" s="77"/>
      <c r="E29" s="77"/>
      <c r="F29" s="77"/>
      <c r="G29" s="77"/>
      <c r="H29" s="77"/>
      <c r="I29" s="77"/>
    </row>
    <row r="30" spans="2:19">
      <c r="B30" s="77" t="s">
        <v>37</v>
      </c>
      <c r="C30" s="77"/>
      <c r="D30" s="77"/>
      <c r="E30" s="77"/>
      <c r="F30" s="77"/>
      <c r="G30" s="77"/>
      <c r="H30" s="77"/>
      <c r="I30" s="77"/>
    </row>
    <row r="31" spans="2:19">
      <c r="B31" s="77"/>
      <c r="C31" s="78"/>
      <c r="D31" s="78"/>
      <c r="E31" s="78"/>
      <c r="F31" s="78"/>
      <c r="G31" s="78"/>
      <c r="H31" s="78"/>
      <c r="I31" s="78"/>
    </row>
    <row r="32" spans="2:19">
      <c r="B32" s="90" t="str">
        <f>'6.Cons Profit &amp; Loss'!A8</f>
        <v>Faclitiy 1 - Trading</v>
      </c>
      <c r="C32" s="78">
        <f>'6.Cons Profit &amp; Loss'!B8</f>
        <v>0</v>
      </c>
      <c r="D32" s="78">
        <f>'6.Cons Profit &amp; Loss'!C8</f>
        <v>0</v>
      </c>
      <c r="E32" s="78">
        <f>'6.Cons Profit &amp; Loss'!D8</f>
        <v>0</v>
      </c>
      <c r="F32" s="78">
        <f>'6.Cons Profit &amp; Loss'!E8</f>
        <v>0</v>
      </c>
      <c r="G32" s="78">
        <f>'6.Cons Profit &amp; Loss'!F8</f>
        <v>0</v>
      </c>
      <c r="H32" s="78">
        <f>'6.Cons Profit &amp; Loss'!G8</f>
        <v>0</v>
      </c>
      <c r="I32" s="78">
        <f>'6.Cons Profit &amp; Loss'!H8</f>
        <v>0</v>
      </c>
    </row>
    <row r="33" spans="2:9">
      <c r="B33" s="90" t="str">
        <f>'6.Cons Profit &amp; Loss'!A9</f>
        <v>Faclitiy 2 - Processing Unit- Dal Mill</v>
      </c>
      <c r="C33" s="78">
        <f>'6.Cons Profit &amp; Loss'!B9</f>
        <v>100148694.39952001</v>
      </c>
      <c r="D33" s="78">
        <f>'6.Cons Profit &amp; Loss'!C9</f>
        <v>118570514.13547203</v>
      </c>
      <c r="E33" s="78">
        <f>'6.Cons Profit &amp; Loss'!D9</f>
        <v>133422552.16398363</v>
      </c>
      <c r="F33" s="78">
        <f>'6.Cons Profit &amp; Loss'!E9</f>
        <v>149463367.71000776</v>
      </c>
      <c r="G33" s="78">
        <f>'6.Cons Profit &amp; Loss'!F9</f>
        <v>166774708.43022433</v>
      </c>
      <c r="H33" s="78">
        <f>'6.Cons Profit &amp; Loss'!G9</f>
        <v>185443524.80318749</v>
      </c>
      <c r="I33" s="78">
        <f>'6.Cons Profit &amp; Loss'!H9</f>
        <v>205562286.04237142</v>
      </c>
    </row>
    <row r="34" spans="2:9">
      <c r="B34" s="90" t="str">
        <f>'6.Cons Profit &amp; Loss'!A10</f>
        <v>Faclitiy 3 - Warehouse</v>
      </c>
      <c r="C34" s="78">
        <f>'6.Cons Profit &amp; Loss'!B10</f>
        <v>420000</v>
      </c>
      <c r="D34" s="78">
        <f>'6.Cons Profit &amp; Loss'!C10</f>
        <v>472500</v>
      </c>
      <c r="E34" s="78">
        <f>'6.Cons Profit &amp; Loss'!D10</f>
        <v>529200</v>
      </c>
      <c r="F34" s="78">
        <f>'6.Cons Profit &amp; Loss'!E10</f>
        <v>590388.75000000023</v>
      </c>
      <c r="G34" s="78">
        <f>'6.Cons Profit &amp; Loss'!F10</f>
        <v>656373.37500000023</v>
      </c>
      <c r="H34" s="78">
        <f>'6.Cons Profit &amp; Loss'!G10</f>
        <v>689192.0437500003</v>
      </c>
      <c r="I34" s="78">
        <f>'6.Cons Profit &amp; Loss'!H10</f>
        <v>723651.64593750041</v>
      </c>
    </row>
    <row r="35" spans="2:9">
      <c r="B35" s="90" t="str">
        <f>'6.Cons Profit &amp; Loss'!A11</f>
        <v xml:space="preserve">Faclitiy 4 - Custom Hiring </v>
      </c>
      <c r="C35" s="78">
        <f>'6.Cons Profit &amp; Loss'!B11</f>
        <v>0</v>
      </c>
      <c r="D35" s="78">
        <f>'6.Cons Profit &amp; Loss'!C11</f>
        <v>0</v>
      </c>
      <c r="E35" s="78">
        <f>'6.Cons Profit &amp; Loss'!D11</f>
        <v>0</v>
      </c>
      <c r="F35" s="78">
        <f>'6.Cons Profit &amp; Loss'!E11</f>
        <v>0</v>
      </c>
      <c r="G35" s="78">
        <f>'6.Cons Profit &amp; Loss'!F11</f>
        <v>0</v>
      </c>
      <c r="H35" s="78">
        <f>'6.Cons Profit &amp; Loss'!G11</f>
        <v>0</v>
      </c>
      <c r="I35" s="78">
        <f>'6.Cons Profit &amp; Loss'!H11</f>
        <v>0</v>
      </c>
    </row>
    <row r="36" spans="2:9">
      <c r="B36" s="90" t="str">
        <f>'6.Cons Profit &amp; Loss'!A12</f>
        <v>Faclitiy 5 - Agri Input Centre</v>
      </c>
      <c r="C36" s="78">
        <f>'6.Cons Profit &amp; Loss'!B12</f>
        <v>0</v>
      </c>
      <c r="D36" s="78">
        <f>'6.Cons Profit &amp; Loss'!C12</f>
        <v>0</v>
      </c>
      <c r="E36" s="78">
        <f>'6.Cons Profit &amp; Loss'!D12</f>
        <v>0</v>
      </c>
      <c r="F36" s="78">
        <f>'6.Cons Profit &amp; Loss'!E12</f>
        <v>0</v>
      </c>
      <c r="G36" s="78">
        <f>'6.Cons Profit &amp; Loss'!F12</f>
        <v>0</v>
      </c>
      <c r="H36" s="78">
        <f>'6.Cons Profit &amp; Loss'!G12</f>
        <v>0</v>
      </c>
      <c r="I36" s="78">
        <f>'6.Cons Profit &amp; Loss'!H12</f>
        <v>0</v>
      </c>
    </row>
    <row r="37" spans="2:9">
      <c r="B37" s="90" t="str">
        <f>'6.Cons Profit &amp; Loss'!A13</f>
        <v>Facility 6 - Processing Unit - Horti Commodity</v>
      </c>
      <c r="C37" s="78">
        <f>'6.Cons Profit &amp; Loss'!B13</f>
        <v>0</v>
      </c>
      <c r="D37" s="78">
        <f>'6.Cons Profit &amp; Loss'!C13</f>
        <v>0</v>
      </c>
      <c r="E37" s="78">
        <f>'6.Cons Profit &amp; Loss'!D13</f>
        <v>0</v>
      </c>
      <c r="F37" s="78">
        <f>'6.Cons Profit &amp; Loss'!E13</f>
        <v>0</v>
      </c>
      <c r="G37" s="78">
        <f>'6.Cons Profit &amp; Loss'!F13</f>
        <v>0</v>
      </c>
      <c r="H37" s="78">
        <f>'6.Cons Profit &amp; Loss'!G13</f>
        <v>0</v>
      </c>
      <c r="I37" s="78">
        <f>'6.Cons Profit &amp; Loss'!H13</f>
        <v>0</v>
      </c>
    </row>
    <row r="38" spans="2:9">
      <c r="B38" s="90"/>
      <c r="C38" s="90"/>
      <c r="D38" s="90"/>
      <c r="E38" s="90"/>
      <c r="F38" s="90"/>
      <c r="G38" s="90"/>
      <c r="H38" s="90"/>
      <c r="I38" s="90"/>
    </row>
    <row r="39" spans="2:9">
      <c r="B39" s="77" t="s">
        <v>8</v>
      </c>
      <c r="C39" s="78">
        <f>SUM(C32:C38)</f>
        <v>100568694.39952001</v>
      </c>
      <c r="D39" s="78">
        <f t="shared" ref="D39:I39" si="4">SUM(D32:D38)</f>
        <v>119043014.13547203</v>
      </c>
      <c r="E39" s="78">
        <f t="shared" si="4"/>
        <v>133951752.16398363</v>
      </c>
      <c r="F39" s="78">
        <f t="shared" si="4"/>
        <v>150053756.46000776</v>
      </c>
      <c r="G39" s="78">
        <f t="shared" si="4"/>
        <v>167431081.80522433</v>
      </c>
      <c r="H39" s="78">
        <f t="shared" si="4"/>
        <v>186132716.84693748</v>
      </c>
      <c r="I39" s="78">
        <f t="shared" si="4"/>
        <v>206285937.68830892</v>
      </c>
    </row>
    <row r="40" spans="2:9">
      <c r="B40" s="77"/>
      <c r="C40" s="78"/>
      <c r="D40" s="78"/>
      <c r="E40" s="78"/>
      <c r="F40" s="78"/>
      <c r="G40" s="78"/>
      <c r="H40" s="78"/>
      <c r="I40" s="78"/>
    </row>
    <row r="41" spans="2:9">
      <c r="B41" s="77" t="s">
        <v>38</v>
      </c>
      <c r="C41" s="78">
        <f>'6.Cons Profit &amp; Loss'!B25</f>
        <v>92067893.177960008</v>
      </c>
      <c r="D41" s="78">
        <f>'6.Cons Profit &amp; Loss'!C25</f>
        <v>108897432.22856404</v>
      </c>
      <c r="E41" s="78">
        <f>'6.Cons Profit &amp; Loss'!D25</f>
        <v>122530982.52455555</v>
      </c>
      <c r="F41" s="78">
        <f>'6.Cons Profit &amp; Loss'!E25</f>
        <v>137255644.26957479</v>
      </c>
      <c r="G41" s="78">
        <f>'6.Cons Profit &amp; Loss'!F25</f>
        <v>153146444.73278463</v>
      </c>
      <c r="H41" s="78">
        <f>'6.Cons Profit &amp; Loss'!G25</f>
        <v>170283186.13164142</v>
      </c>
      <c r="I41" s="78">
        <f>'6.Cons Profit &amp; Loss'!H25</f>
        <v>188750735.55855194</v>
      </c>
    </row>
    <row r="42" spans="2:9">
      <c r="B42" s="77"/>
      <c r="C42" s="78"/>
      <c r="D42" s="78"/>
      <c r="E42" s="78"/>
      <c r="F42" s="78"/>
      <c r="G42" s="78"/>
      <c r="H42" s="78"/>
      <c r="I42" s="78"/>
    </row>
    <row r="43" spans="2:9">
      <c r="B43" s="79" t="s">
        <v>39</v>
      </c>
      <c r="C43" s="95">
        <f>C39-C41</f>
        <v>8500801.2215600014</v>
      </c>
      <c r="D43" s="95">
        <f t="shared" ref="D43:I43" si="5">D39-D41</f>
        <v>10145581.906907991</v>
      </c>
      <c r="E43" s="95">
        <f t="shared" si="5"/>
        <v>11420769.639428079</v>
      </c>
      <c r="F43" s="95">
        <f t="shared" si="5"/>
        <v>12798112.190432966</v>
      </c>
      <c r="G43" s="95">
        <f t="shared" si="5"/>
        <v>14284637.0724397</v>
      </c>
      <c r="H43" s="95">
        <f t="shared" si="5"/>
        <v>15849530.71529606</v>
      </c>
      <c r="I43" s="95">
        <f t="shared" si="5"/>
        <v>17535202.129756987</v>
      </c>
    </row>
    <row r="44" spans="2:9">
      <c r="B44" s="77"/>
      <c r="C44" s="78"/>
      <c r="D44" s="78"/>
      <c r="E44" s="78"/>
      <c r="F44" s="78"/>
      <c r="G44" s="78"/>
      <c r="H44" s="78"/>
      <c r="I44" s="78"/>
    </row>
    <row r="45" spans="2:9">
      <c r="B45" s="79" t="s">
        <v>41</v>
      </c>
      <c r="C45" s="95">
        <f>'6.Cons Profit &amp; Loss'!B36+'6.Cons Profit &amp; Loss'!B42+'6.Cons Profit &amp; Loss'!B43</f>
        <v>4720589.2039999999</v>
      </c>
      <c r="D45" s="95">
        <f>'6.Cons Profit &amp; Loss'!C36+'6.Cons Profit &amp; Loss'!C42+'6.Cons Profit &amp; Loss'!C43</f>
        <v>4885389.2039999999</v>
      </c>
      <c r="E45" s="95">
        <f>'6.Cons Profit &amp; Loss'!D36+'6.Cons Profit &amp; Loss'!D42+'6.Cons Profit &amp; Loss'!D43</f>
        <v>5058429.2039999999</v>
      </c>
      <c r="F45" s="95">
        <f>'6.Cons Profit &amp; Loss'!E36+'6.Cons Profit &amp; Loss'!E42+'6.Cons Profit &amp; Loss'!E43</f>
        <v>5240121.2039999999</v>
      </c>
      <c r="G45" s="95">
        <f>'6.Cons Profit &amp; Loss'!F36+'6.Cons Profit &amp; Loss'!F42+'6.Cons Profit &amp; Loss'!F43</f>
        <v>5430897.8040000005</v>
      </c>
      <c r="H45" s="95">
        <f>'6.Cons Profit &amp; Loss'!G36+'6.Cons Profit &amp; Loss'!G42+'6.Cons Profit &amp; Loss'!G43</f>
        <v>5381213.2340000011</v>
      </c>
      <c r="I45" s="95">
        <f>'6.Cons Profit &amp; Loss'!H36+'6.Cons Profit &amp; Loss'!H42+'6.Cons Profit &amp; Loss'!H43</f>
        <v>5591544.4355000006</v>
      </c>
    </row>
    <row r="46" spans="2:9">
      <c r="B46" s="77"/>
      <c r="C46" s="77"/>
      <c r="D46" s="77"/>
      <c r="E46" s="77"/>
      <c r="F46" s="77"/>
      <c r="G46" s="77"/>
      <c r="H46" s="77"/>
      <c r="I46" s="77"/>
    </row>
    <row r="47" spans="2:9">
      <c r="B47" s="77" t="s">
        <v>40</v>
      </c>
      <c r="C47" s="94">
        <f>C45/C43</f>
        <v>0.55531109138600865</v>
      </c>
      <c r="D47" s="94">
        <f>D45/D43</f>
        <v>0.48152873327784224</v>
      </c>
      <c r="E47" s="94">
        <f>E45/E43</f>
        <v>0.44291491411723388</v>
      </c>
      <c r="F47" s="94">
        <f>F45/F43</f>
        <v>0.40944485608722614</v>
      </c>
      <c r="G47" s="94">
        <f>G45/G43</f>
        <v>0.38019151459424844</v>
      </c>
      <c r="H47" s="94">
        <f t="shared" ref="H47:I47" si="6">H45/H43</f>
        <v>0.33951877381496864</v>
      </c>
      <c r="I47" s="94">
        <f t="shared" si="6"/>
        <v>0.3188753910062565</v>
      </c>
    </row>
    <row r="48" spans="2:9">
      <c r="B48" s="76"/>
      <c r="C48" s="76"/>
      <c r="D48" s="76"/>
      <c r="E48" s="76"/>
      <c r="F48" s="76"/>
      <c r="G48" s="76"/>
      <c r="H48" s="76"/>
      <c r="I48" s="76"/>
    </row>
    <row r="49" spans="2:10">
      <c r="B49" s="96" t="s">
        <v>134</v>
      </c>
      <c r="C49" s="97">
        <f>AVERAGE(C47:I47)</f>
        <v>0.41825503918339774</v>
      </c>
      <c r="D49" s="76"/>
      <c r="E49" s="76"/>
      <c r="F49" s="76"/>
      <c r="G49" s="76"/>
      <c r="H49" s="76"/>
      <c r="I49" s="76"/>
    </row>
    <row r="51" spans="2:10" ht="41.45" customHeight="1">
      <c r="B51" s="409" t="s">
        <v>433</v>
      </c>
      <c r="C51" s="409"/>
      <c r="D51" s="409"/>
      <c r="E51" s="409"/>
      <c r="F51" s="409"/>
      <c r="G51" s="409"/>
      <c r="H51" s="409"/>
      <c r="I51" s="409"/>
      <c r="J51" s="409"/>
    </row>
    <row r="54" spans="2:10" ht="18.75">
      <c r="B54" s="362" t="s">
        <v>574</v>
      </c>
      <c r="C54" s="362"/>
      <c r="D54" s="362"/>
      <c r="E54" s="362"/>
      <c r="F54" s="362"/>
      <c r="G54" s="362"/>
      <c r="H54" s="362"/>
      <c r="I54" s="362"/>
    </row>
    <row r="56" spans="2:10">
      <c r="B56" s="67" t="s">
        <v>29</v>
      </c>
      <c r="C56" s="68" t="s">
        <v>2</v>
      </c>
      <c r="D56" s="68" t="s">
        <v>3</v>
      </c>
      <c r="E56" s="68" t="s">
        <v>4</v>
      </c>
      <c r="F56" s="68" t="s">
        <v>5</v>
      </c>
      <c r="G56" s="68" t="s">
        <v>6</v>
      </c>
      <c r="H56" s="68" t="s">
        <v>169</v>
      </c>
      <c r="I56" s="68" t="s">
        <v>168</v>
      </c>
    </row>
    <row r="57" spans="2:10">
      <c r="B57" s="77"/>
      <c r="C57" s="77"/>
      <c r="D57" s="77"/>
      <c r="E57" s="77"/>
      <c r="F57" s="77"/>
      <c r="G57" s="77"/>
      <c r="H57" s="77"/>
      <c r="I57" s="77"/>
    </row>
    <row r="58" spans="2:10">
      <c r="B58" s="77" t="s">
        <v>380</v>
      </c>
      <c r="C58" s="290">
        <f>'6.Cons Profit &amp; Loss'!B51</f>
        <v>2387183.7826762134</v>
      </c>
      <c r="D58" s="290">
        <f>'6.Cons Profit &amp; Loss'!C51</f>
        <v>3204794.2164368168</v>
      </c>
      <c r="E58" s="290">
        <f>'6.Cons Profit &amp; Loss'!D51</f>
        <v>3933477.5872184578</v>
      </c>
      <c r="F58" s="290">
        <f>'6.Cons Profit &amp; Loss'!E51</f>
        <v>4748514.3990639187</v>
      </c>
      <c r="G58" s="290">
        <f>'6.Cons Profit &amp; Loss'!F51</f>
        <v>5654233.0011587171</v>
      </c>
      <c r="H58" s="290">
        <f>'6.Cons Profit &amp; Loss'!G51</f>
        <v>6812490.6647660546</v>
      </c>
      <c r="I58" s="290">
        <f>'6.Cons Profit &amp; Loss'!H51</f>
        <v>7884473.9833265031</v>
      </c>
    </row>
    <row r="59" spans="2:10">
      <c r="B59" s="77"/>
      <c r="C59" s="290"/>
      <c r="D59" s="290"/>
      <c r="E59" s="290"/>
      <c r="F59" s="290"/>
      <c r="G59" s="290"/>
      <c r="H59" s="290"/>
      <c r="I59" s="290"/>
    </row>
    <row r="60" spans="2:10">
      <c r="B60" s="77" t="s">
        <v>42</v>
      </c>
      <c r="C60" s="290">
        <f>'6.Cons Profit &amp; Loss'!B42</f>
        <v>1174589.2039999999</v>
      </c>
      <c r="D60" s="290">
        <f>'6.Cons Profit &amp; Loss'!C42</f>
        <v>1174589.2039999999</v>
      </c>
      <c r="E60" s="290">
        <f>'6.Cons Profit &amp; Loss'!D42</f>
        <v>1174589.2039999999</v>
      </c>
      <c r="F60" s="290">
        <f>'6.Cons Profit &amp; Loss'!E42</f>
        <v>1174589.2039999999</v>
      </c>
      <c r="G60" s="290">
        <f>'6.Cons Profit &amp; Loss'!F42</f>
        <v>1174589.2039999999</v>
      </c>
      <c r="H60" s="290">
        <f>'6.Cons Profit &amp; Loss'!G42</f>
        <v>1174589.2039999999</v>
      </c>
      <c r="I60" s="290">
        <f>'6.Cons Profit &amp; Loss'!H42</f>
        <v>1174589.2039999999</v>
      </c>
    </row>
    <row r="61" spans="2:10">
      <c r="B61" s="89" t="s">
        <v>48</v>
      </c>
      <c r="C61" s="290">
        <f>'6.Cons Profit &amp; Loss'!B43</f>
        <v>250000</v>
      </c>
      <c r="D61" s="290">
        <f>'6.Cons Profit &amp; Loss'!C43</f>
        <v>250000</v>
      </c>
      <c r="E61" s="290">
        <f>'6.Cons Profit &amp; Loss'!D43</f>
        <v>250000</v>
      </c>
      <c r="F61" s="290">
        <f>'6.Cons Profit &amp; Loss'!E43</f>
        <v>250000</v>
      </c>
      <c r="G61" s="290">
        <f>'6.Cons Profit &amp; Loss'!F43</f>
        <v>250000</v>
      </c>
      <c r="H61" s="290">
        <f>'6.Cons Profit &amp; Loss'!G43</f>
        <v>0</v>
      </c>
      <c r="I61" s="290">
        <f>'6.Cons Profit &amp; Loss'!H43</f>
        <v>0</v>
      </c>
    </row>
    <row r="62" spans="2:10">
      <c r="B62" s="77"/>
      <c r="C62" s="290"/>
      <c r="D62" s="290"/>
      <c r="E62" s="290"/>
      <c r="F62" s="290"/>
      <c r="G62" s="290"/>
      <c r="H62" s="290"/>
      <c r="I62" s="290"/>
    </row>
    <row r="63" spans="2:10">
      <c r="B63" s="77" t="s">
        <v>32</v>
      </c>
      <c r="C63" s="290">
        <f>SUM(C58:C61)</f>
        <v>3811772.9866762133</v>
      </c>
      <c r="D63" s="290">
        <f t="shared" ref="D63:I63" si="7">SUM(D58:D61)</f>
        <v>4629383.4204368163</v>
      </c>
      <c r="E63" s="290">
        <f t="shared" si="7"/>
        <v>5358066.7912184577</v>
      </c>
      <c r="F63" s="290">
        <f t="shared" si="7"/>
        <v>6173103.6030639187</v>
      </c>
      <c r="G63" s="290">
        <f t="shared" si="7"/>
        <v>7078822.205158717</v>
      </c>
      <c r="H63" s="290">
        <f t="shared" si="7"/>
        <v>7987079.8687660545</v>
      </c>
      <c r="I63" s="290">
        <f t="shared" si="7"/>
        <v>9059063.1873265021</v>
      </c>
    </row>
    <row r="64" spans="2:10">
      <c r="B64" s="77"/>
      <c r="C64" s="77"/>
      <c r="D64" s="77"/>
      <c r="E64" s="77"/>
      <c r="F64" s="77"/>
      <c r="G64" s="77"/>
      <c r="H64" s="77"/>
      <c r="I64" s="77"/>
    </row>
    <row r="65" spans="2:10" ht="16.5">
      <c r="B65" s="10" t="s">
        <v>43</v>
      </c>
      <c r="C65" s="90">
        <f>1/1.1</f>
        <v>0.90909090909090906</v>
      </c>
      <c r="D65" s="90">
        <f t="shared" ref="D65:I65" si="8">C65/1.1</f>
        <v>0.82644628099173545</v>
      </c>
      <c r="E65" s="90">
        <f t="shared" si="8"/>
        <v>0.75131480090157765</v>
      </c>
      <c r="F65" s="90">
        <f t="shared" si="8"/>
        <v>0.68301345536507052</v>
      </c>
      <c r="G65" s="90">
        <f t="shared" si="8"/>
        <v>0.62092132305915493</v>
      </c>
      <c r="H65" s="90">
        <f t="shared" si="8"/>
        <v>0.56447393005377711</v>
      </c>
      <c r="I65" s="90">
        <f t="shared" si="8"/>
        <v>0.51315811823070645</v>
      </c>
    </row>
    <row r="66" spans="2:10">
      <c r="B66" s="77"/>
      <c r="C66" s="77"/>
      <c r="D66" s="77"/>
      <c r="E66" s="77"/>
      <c r="F66" s="77"/>
      <c r="G66" s="77"/>
      <c r="H66" s="77"/>
      <c r="I66" s="77"/>
    </row>
    <row r="67" spans="2:10" ht="16.5">
      <c r="B67" s="10" t="s">
        <v>44</v>
      </c>
      <c r="C67" s="78">
        <f>C63*C65</f>
        <v>3465248.1697056484</v>
      </c>
      <c r="D67" s="78">
        <f t="shared" ref="D67:I67" si="9">D63*D65</f>
        <v>3825936.7111048065</v>
      </c>
      <c r="E67" s="78">
        <f t="shared" si="9"/>
        <v>4025594.8844616506</v>
      </c>
      <c r="F67" s="78">
        <f t="shared" si="9"/>
        <v>4216312.8222552538</v>
      </c>
      <c r="G67" s="78">
        <f t="shared" si="9"/>
        <v>4395391.6493276749</v>
      </c>
      <c r="H67" s="78">
        <f t="shared" si="9"/>
        <v>4508498.3631757814</v>
      </c>
      <c r="I67" s="78">
        <f t="shared" si="9"/>
        <v>4648731.818141534</v>
      </c>
    </row>
    <row r="68" spans="2:10">
      <c r="B68" s="76"/>
      <c r="C68" s="92"/>
      <c r="D68" s="92"/>
      <c r="E68" s="92"/>
      <c r="F68" s="92"/>
      <c r="G68" s="92"/>
      <c r="H68" s="92"/>
      <c r="I68" s="92"/>
    </row>
    <row r="69" spans="2:10" ht="16.5">
      <c r="B69" s="11" t="s">
        <v>45</v>
      </c>
      <c r="C69" s="92">
        <f>SUM(C67:I67)</f>
        <v>29085714.418172352</v>
      </c>
      <c r="D69" s="92"/>
      <c r="E69" s="92"/>
      <c r="F69" s="92"/>
      <c r="G69" s="92"/>
      <c r="H69" s="92"/>
      <c r="I69" s="92"/>
    </row>
    <row r="70" spans="2:10">
      <c r="B70" s="76"/>
      <c r="C70" s="92"/>
      <c r="D70" s="92"/>
      <c r="E70" s="92"/>
      <c r="F70" s="92"/>
      <c r="G70" s="92"/>
      <c r="H70" s="92"/>
      <c r="I70" s="92"/>
    </row>
    <row r="71" spans="2:10" ht="16.5">
      <c r="B71" s="11" t="s">
        <v>46</v>
      </c>
      <c r="C71" s="92">
        <f>'1.Project Cost and MOF'!D12</f>
        <v>27754144.192819286</v>
      </c>
      <c r="D71" s="92"/>
      <c r="E71" s="92"/>
      <c r="F71" s="92"/>
      <c r="G71" s="92"/>
      <c r="H71" s="92"/>
      <c r="I71" s="92"/>
    </row>
    <row r="72" spans="2:10">
      <c r="B72" s="76"/>
      <c r="C72" s="91"/>
      <c r="D72" s="76"/>
      <c r="E72" s="76"/>
      <c r="F72" s="76"/>
      <c r="G72" s="76"/>
      <c r="H72" s="76"/>
      <c r="I72" s="76"/>
    </row>
    <row r="73" spans="2:10" ht="16.5">
      <c r="B73" s="11" t="s">
        <v>47</v>
      </c>
      <c r="C73" s="91">
        <f>C69-C71</f>
        <v>1331570.2253530659</v>
      </c>
      <c r="D73" s="76"/>
      <c r="E73" s="76"/>
      <c r="F73" s="76"/>
      <c r="G73" s="76"/>
      <c r="H73" s="76"/>
      <c r="I73" s="76"/>
    </row>
    <row r="75" spans="2:10" ht="35.1" customHeight="1">
      <c r="B75" s="368" t="s">
        <v>434</v>
      </c>
      <c r="C75" s="368"/>
      <c r="D75" s="368"/>
      <c r="E75" s="368"/>
      <c r="F75" s="368"/>
      <c r="G75" s="368"/>
      <c r="H75" s="368"/>
      <c r="I75" s="368"/>
      <c r="J75" s="368"/>
    </row>
    <row r="76" spans="2:10" ht="18.75">
      <c r="B76" s="362" t="s">
        <v>575</v>
      </c>
      <c r="C76" s="362"/>
      <c r="D76" s="362"/>
      <c r="E76" s="362"/>
      <c r="F76" s="362"/>
      <c r="G76" s="362"/>
      <c r="H76" s="362"/>
      <c r="I76" s="362"/>
    </row>
    <row r="77" spans="2:10">
      <c r="B77" s="76"/>
      <c r="C77" s="76"/>
      <c r="D77" s="76"/>
      <c r="E77" s="76"/>
      <c r="F77" s="76"/>
      <c r="G77" s="76"/>
      <c r="H77" s="76"/>
      <c r="I77" s="76"/>
    </row>
    <row r="78" spans="2:10" ht="15.75">
      <c r="B78" s="58" t="s">
        <v>0</v>
      </c>
      <c r="C78" s="58" t="s">
        <v>2</v>
      </c>
      <c r="D78" s="58" t="s">
        <v>3</v>
      </c>
      <c r="E78" s="58" t="s">
        <v>4</v>
      </c>
      <c r="F78" s="58" t="s">
        <v>5</v>
      </c>
      <c r="G78" s="58" t="s">
        <v>6</v>
      </c>
      <c r="H78" s="58" t="s">
        <v>169</v>
      </c>
      <c r="I78" s="58" t="s">
        <v>168</v>
      </c>
    </row>
    <row r="79" spans="2:10" ht="15.75">
      <c r="B79" s="55"/>
      <c r="C79" s="56"/>
      <c r="D79" s="56"/>
      <c r="E79" s="56"/>
      <c r="F79" s="56"/>
      <c r="G79" s="56"/>
      <c r="H79" s="56"/>
      <c r="I79" s="56"/>
    </row>
    <row r="80" spans="2:10">
      <c r="B80" s="79" t="s">
        <v>27</v>
      </c>
      <c r="C80" s="78">
        <f>'6.Cons Profit &amp; Loss'!B51</f>
        <v>2387183.7826762134</v>
      </c>
      <c r="D80" s="78">
        <f>'6.Cons Profit &amp; Loss'!C51</f>
        <v>3204794.2164368168</v>
      </c>
      <c r="E80" s="78">
        <f>'6.Cons Profit &amp; Loss'!D51+2500000</f>
        <v>6433477.5872184578</v>
      </c>
      <c r="F80" s="78">
        <f>'6.Cons Profit &amp; Loss'!E51</f>
        <v>4748514.3990639187</v>
      </c>
      <c r="G80" s="78">
        <f>'6.Cons Profit &amp; Loss'!F51+2150000</f>
        <v>7804233.0011587171</v>
      </c>
      <c r="H80" s="78">
        <f>'6.Cons Profit &amp; Loss'!G51</f>
        <v>6812490.6647660546</v>
      </c>
      <c r="I80" s="78">
        <f>'6.Cons Profit &amp; Loss'!H51</f>
        <v>7884473.9833265031</v>
      </c>
    </row>
    <row r="81" spans="2:10">
      <c r="B81" s="77"/>
      <c r="C81" s="77"/>
      <c r="D81" s="77"/>
      <c r="E81" s="77"/>
      <c r="F81" s="77"/>
      <c r="G81" s="77"/>
      <c r="H81" s="77"/>
      <c r="I81" s="77"/>
    </row>
    <row r="82" spans="2:10">
      <c r="B82" s="79" t="s">
        <v>124</v>
      </c>
      <c r="C82" s="405">
        <f>AVERAGE(C80:I80)</f>
        <v>5610738.2335209548</v>
      </c>
      <c r="D82" s="405"/>
      <c r="E82" s="405"/>
      <c r="F82" s="405"/>
      <c r="G82" s="405"/>
      <c r="H82" s="405"/>
      <c r="I82" s="405"/>
    </row>
    <row r="83" spans="2:10">
      <c r="B83" s="79" t="s">
        <v>125</v>
      </c>
      <c r="C83" s="405">
        <f>'1.Project Cost and MOF'!D12</f>
        <v>27754144.192819286</v>
      </c>
      <c r="D83" s="405"/>
      <c r="E83" s="405"/>
      <c r="F83" s="405"/>
      <c r="G83" s="405"/>
      <c r="H83" s="405"/>
      <c r="I83" s="405"/>
    </row>
    <row r="84" spans="2:10">
      <c r="B84" s="77"/>
      <c r="C84" s="77"/>
      <c r="D84" s="77"/>
      <c r="E84" s="77"/>
      <c r="F84" s="77"/>
      <c r="G84" s="77"/>
      <c r="H84" s="77"/>
      <c r="I84" s="77"/>
    </row>
    <row r="85" spans="2:10">
      <c r="B85" s="238" t="s">
        <v>126</v>
      </c>
      <c r="C85" s="406">
        <f>C82/C83</f>
        <v>0.20215857475340918</v>
      </c>
      <c r="D85" s="406"/>
      <c r="E85" s="406"/>
      <c r="F85" s="406"/>
      <c r="G85" s="406"/>
      <c r="H85" s="406"/>
      <c r="I85" s="406"/>
    </row>
    <row r="88" spans="2:10">
      <c r="B88" s="404" t="s">
        <v>435</v>
      </c>
      <c r="C88" s="404"/>
      <c r="D88" s="404"/>
      <c r="E88" s="404"/>
      <c r="F88" s="404"/>
      <c r="G88" s="404"/>
      <c r="H88" s="404"/>
      <c r="I88" s="404"/>
    </row>
    <row r="90" spans="2:10" ht="18.75">
      <c r="B90" s="362" t="s">
        <v>576</v>
      </c>
      <c r="C90" s="362"/>
      <c r="D90" s="362"/>
      <c r="E90" s="362"/>
      <c r="F90" s="362"/>
      <c r="G90" s="362"/>
      <c r="H90" s="362"/>
      <c r="I90" s="362"/>
      <c r="J90" s="362"/>
    </row>
    <row r="92" spans="2:10">
      <c r="B92" s="84" t="s">
        <v>0</v>
      </c>
      <c r="C92" s="84" t="s">
        <v>338</v>
      </c>
      <c r="D92" s="84" t="s">
        <v>2</v>
      </c>
      <c r="E92" s="84" t="s">
        <v>3</v>
      </c>
      <c r="F92" s="84" t="s">
        <v>4</v>
      </c>
      <c r="G92" s="84" t="s">
        <v>5</v>
      </c>
      <c r="H92" s="84" t="s">
        <v>6</v>
      </c>
      <c r="I92" s="84" t="s">
        <v>169</v>
      </c>
      <c r="J92" s="84" t="s">
        <v>168</v>
      </c>
    </row>
    <row r="93" spans="2:10">
      <c r="B93" s="85"/>
      <c r="C93" s="85"/>
      <c r="D93" s="86"/>
      <c r="E93" s="86"/>
      <c r="F93" s="86"/>
      <c r="G93" s="86"/>
      <c r="H93" s="86"/>
      <c r="I93" s="86"/>
      <c r="J93" s="86"/>
    </row>
    <row r="94" spans="2:10">
      <c r="B94" s="9" t="s">
        <v>282</v>
      </c>
      <c r="C94" s="87">
        <f>'1.Project Cost and MOF'!D12</f>
        <v>27754144.192819286</v>
      </c>
      <c r="D94" s="86"/>
      <c r="E94" s="86"/>
      <c r="F94" s="86"/>
      <c r="G94" s="86"/>
      <c r="H94" s="86"/>
      <c r="I94" s="86"/>
      <c r="J94" s="86"/>
    </row>
    <row r="95" spans="2:10">
      <c r="B95" s="9" t="str">
        <f>B58</f>
        <v>Profit after Tax &amp; Dividend</v>
      </c>
      <c r="C95" s="9"/>
      <c r="D95" s="20">
        <f>'6.Cons Profit &amp; Loss'!B51</f>
        <v>2387183.7826762134</v>
      </c>
      <c r="E95" s="20">
        <f>'6.Cons Profit &amp; Loss'!C51</f>
        <v>3204794.2164368168</v>
      </c>
      <c r="F95" s="20">
        <f>'6.Cons Profit &amp; Loss'!D51</f>
        <v>3933477.5872184578</v>
      </c>
      <c r="G95" s="20">
        <f>'6.Cons Profit &amp; Loss'!E51</f>
        <v>4748514.3990639187</v>
      </c>
      <c r="H95" s="20">
        <f>'6.Cons Profit &amp; Loss'!F51</f>
        <v>5654233.0011587171</v>
      </c>
      <c r="I95" s="20">
        <f>'6.Cons Profit &amp; Loss'!G51</f>
        <v>6812490.6647660546</v>
      </c>
      <c r="J95" s="20">
        <f>'6.Cons Profit &amp; Loss'!H51</f>
        <v>7884473.9833265031</v>
      </c>
    </row>
    <row r="96" spans="2:10">
      <c r="B96" s="9" t="str">
        <f>B60</f>
        <v>Add: Deprication</v>
      </c>
      <c r="C96" s="9"/>
      <c r="D96" s="74">
        <f>'6.Cons Profit &amp; Loss'!B42</f>
        <v>1174589.2039999999</v>
      </c>
      <c r="E96" s="74">
        <f>'6.Cons Profit &amp; Loss'!C42</f>
        <v>1174589.2039999999</v>
      </c>
      <c r="F96" s="74">
        <f>'6.Cons Profit &amp; Loss'!D42</f>
        <v>1174589.2039999999</v>
      </c>
      <c r="G96" s="74">
        <f>'6.Cons Profit &amp; Loss'!E42</f>
        <v>1174589.2039999999</v>
      </c>
      <c r="H96" s="74">
        <f>'6.Cons Profit &amp; Loss'!F42</f>
        <v>1174589.2039999999</v>
      </c>
      <c r="I96" s="74">
        <f>'6.Cons Profit &amp; Loss'!G42</f>
        <v>1174589.2039999999</v>
      </c>
      <c r="J96" s="74">
        <f>'6.Cons Profit &amp; Loss'!H42</f>
        <v>1174589.2039999999</v>
      </c>
    </row>
    <row r="97" spans="2:10">
      <c r="B97" s="9" t="str">
        <f>B61</f>
        <v>Add. Preliminary exp Written off</v>
      </c>
      <c r="C97" s="9"/>
      <c r="D97" s="74">
        <f>'6.Cons Profit &amp; Loss'!B43</f>
        <v>250000</v>
      </c>
      <c r="E97" s="74">
        <f>'6.Cons Profit &amp; Loss'!C43</f>
        <v>250000</v>
      </c>
      <c r="F97" s="74">
        <f>'6.Cons Profit &amp; Loss'!D43</f>
        <v>250000</v>
      </c>
      <c r="G97" s="74">
        <f>'6.Cons Profit &amp; Loss'!E43</f>
        <v>250000</v>
      </c>
      <c r="H97" s="74">
        <f>'6.Cons Profit &amp; Loss'!F43</f>
        <v>250000</v>
      </c>
      <c r="I97" s="74">
        <f>'6.Cons Profit &amp; Loss'!G43</f>
        <v>0</v>
      </c>
      <c r="J97" s="74">
        <f>'6.Cons Profit &amp; Loss'!H43</f>
        <v>0</v>
      </c>
    </row>
    <row r="98" spans="2:10">
      <c r="B98" s="9" t="str">
        <f>B63</f>
        <v xml:space="preserve">Net Cash Accrual (A)      </v>
      </c>
      <c r="C98" s="9"/>
      <c r="D98" s="237">
        <f>SUM(D95:D97)</f>
        <v>3811772.9866762133</v>
      </c>
      <c r="E98" s="237">
        <f t="shared" ref="E98:J98" si="10">SUM(E95:E97)</f>
        <v>4629383.4204368163</v>
      </c>
      <c r="F98" s="237">
        <f t="shared" si="10"/>
        <v>5358066.7912184577</v>
      </c>
      <c r="G98" s="237">
        <f t="shared" si="10"/>
        <v>6173103.6030639187</v>
      </c>
      <c r="H98" s="237">
        <f t="shared" si="10"/>
        <v>7078822.205158717</v>
      </c>
      <c r="I98" s="237">
        <f t="shared" si="10"/>
        <v>7987079.8687660545</v>
      </c>
      <c r="J98" s="237">
        <f t="shared" si="10"/>
        <v>9059063.1873265021</v>
      </c>
    </row>
    <row r="99" spans="2:10">
      <c r="B99" s="9" t="s">
        <v>283</v>
      </c>
      <c r="C99" s="88"/>
      <c r="D99" s="57">
        <f>D98-C94</f>
        <v>-23942371.206143074</v>
      </c>
      <c r="E99" s="57">
        <f>D99+E98</f>
        <v>-19312987.785706259</v>
      </c>
      <c r="F99" s="57">
        <f>E99+F98</f>
        <v>-13954920.994487802</v>
      </c>
      <c r="G99" s="57">
        <f>F99+G98</f>
        <v>-7781817.3914238829</v>
      </c>
      <c r="H99" s="57">
        <f>G99+H98</f>
        <v>-702995.18626516592</v>
      </c>
      <c r="I99" s="75"/>
      <c r="J99" s="75"/>
    </row>
    <row r="101" spans="2:10">
      <c r="B101" s="5" t="s">
        <v>284</v>
      </c>
      <c r="D101" s="51">
        <f>4+(-G99/H98)</f>
        <v>5.0993096260777468</v>
      </c>
    </row>
    <row r="103" spans="2:10">
      <c r="B103" s="404" t="s">
        <v>436</v>
      </c>
      <c r="C103" s="404"/>
      <c r="D103" s="404"/>
      <c r="E103" s="404"/>
      <c r="F103" s="404"/>
      <c r="G103" s="404"/>
      <c r="H103" s="404"/>
      <c r="I103" s="404"/>
      <c r="J103" s="404"/>
    </row>
    <row r="105" spans="2:10" ht="18.75">
      <c r="B105" s="362" t="s">
        <v>577</v>
      </c>
      <c r="C105" s="362"/>
      <c r="D105" s="362"/>
      <c r="E105" s="362"/>
      <c r="F105" s="362"/>
      <c r="G105" s="362"/>
      <c r="H105" s="362"/>
      <c r="I105" s="362"/>
    </row>
    <row r="107" spans="2:10" ht="15.75">
      <c r="B107" s="58" t="s">
        <v>0</v>
      </c>
      <c r="C107" s="58" t="s">
        <v>2</v>
      </c>
      <c r="D107" s="58" t="s">
        <v>3</v>
      </c>
      <c r="E107" s="58" t="s">
        <v>4</v>
      </c>
      <c r="F107" s="58" t="s">
        <v>5</v>
      </c>
      <c r="G107" s="58" t="s">
        <v>6</v>
      </c>
      <c r="H107" s="58" t="s">
        <v>169</v>
      </c>
      <c r="I107" s="58" t="s">
        <v>168</v>
      </c>
    </row>
    <row r="108" spans="2:10" ht="15.75">
      <c r="B108" s="55"/>
      <c r="C108" s="56"/>
      <c r="D108" s="56"/>
      <c r="E108" s="56"/>
      <c r="F108" s="56"/>
      <c r="G108" s="56"/>
      <c r="H108" s="56"/>
      <c r="I108" s="56"/>
    </row>
    <row r="109" spans="2:10">
      <c r="B109" s="77" t="s">
        <v>341</v>
      </c>
      <c r="C109" s="78">
        <f>'6.Cons Profit &amp; Loss'!B51</f>
        <v>2387183.7826762134</v>
      </c>
      <c r="D109" s="78">
        <f>'6.Cons Profit &amp; Loss'!C51</f>
        <v>3204794.2164368168</v>
      </c>
      <c r="E109" s="78">
        <f>'6.Cons Profit &amp; Loss'!D51</f>
        <v>3933477.5872184578</v>
      </c>
      <c r="F109" s="78">
        <f>'6.Cons Profit &amp; Loss'!E51</f>
        <v>4748514.3990639187</v>
      </c>
      <c r="G109" s="78">
        <f>'6.Cons Profit &amp; Loss'!F51</f>
        <v>5654233.0011587171</v>
      </c>
      <c r="H109" s="78">
        <f>'6.Cons Profit &amp; Loss'!G51</f>
        <v>6812490.6647660546</v>
      </c>
      <c r="I109" s="78">
        <f>'6.Cons Profit &amp; Loss'!H51</f>
        <v>7884473.9833265031</v>
      </c>
    </row>
    <row r="110" spans="2:10" hidden="1">
      <c r="B110" s="77" t="s">
        <v>351</v>
      </c>
      <c r="C110" s="78"/>
      <c r="D110" s="78"/>
      <c r="E110" s="78"/>
      <c r="F110" s="78"/>
      <c r="G110" s="78"/>
      <c r="H110" s="78"/>
      <c r="I110" s="78"/>
    </row>
    <row r="111" spans="2:10" hidden="1">
      <c r="B111" s="77" t="s">
        <v>352</v>
      </c>
      <c r="C111" s="78"/>
      <c r="D111" s="78"/>
      <c r="E111" s="78"/>
      <c r="F111" s="78"/>
      <c r="G111" s="78"/>
      <c r="H111" s="78"/>
      <c r="I111" s="78"/>
    </row>
    <row r="112" spans="2:10" hidden="1">
      <c r="B112" s="77" t="s">
        <v>353</v>
      </c>
      <c r="C112" s="78"/>
      <c r="D112" s="78"/>
      <c r="E112" s="78"/>
      <c r="F112" s="78"/>
      <c r="G112" s="78"/>
      <c r="H112" s="78"/>
      <c r="I112" s="78"/>
    </row>
    <row r="113" spans="2:18">
      <c r="B113" s="79" t="s">
        <v>1</v>
      </c>
      <c r="C113" s="80">
        <f>SUM(C109:C112)</f>
        <v>2387183.7826762134</v>
      </c>
      <c r="D113" s="80">
        <f t="shared" ref="D113:I113" si="11">SUM(D109:D112)</f>
        <v>3204794.2164368168</v>
      </c>
      <c r="E113" s="80">
        <f t="shared" si="11"/>
        <v>3933477.5872184578</v>
      </c>
      <c r="F113" s="80">
        <f t="shared" si="11"/>
        <v>4748514.3990639187</v>
      </c>
      <c r="G113" s="80">
        <f t="shared" si="11"/>
        <v>5654233.0011587171</v>
      </c>
      <c r="H113" s="80">
        <f>SUM(H109:H112)</f>
        <v>6812490.6647660546</v>
      </c>
      <c r="I113" s="80">
        <f t="shared" si="11"/>
        <v>7884473.9833265031</v>
      </c>
    </row>
    <row r="114" spans="2:18">
      <c r="B114" s="77"/>
      <c r="C114" s="77"/>
      <c r="D114" s="77"/>
      <c r="E114" s="77"/>
      <c r="F114" s="77"/>
      <c r="G114" s="77"/>
      <c r="H114" s="77"/>
      <c r="I114" s="77"/>
    </row>
    <row r="115" spans="2:18">
      <c r="B115" s="77" t="s">
        <v>285</v>
      </c>
      <c r="C115" s="81">
        <f>'8.Cash Flow '!C25+'8.Cash Flow '!C26</f>
        <v>1032612.7057661235</v>
      </c>
      <c r="D115" s="81">
        <f>'8.Cash Flow '!D25+'8.Cash Flow '!D26</f>
        <v>1445672.4115322467</v>
      </c>
      <c r="E115" s="81">
        <f>'8.Cash Flow '!E25+'8.Cash Flow '!E26</f>
        <v>1445672.4115322465</v>
      </c>
      <c r="F115" s="81">
        <f>'8.Cash Flow '!F25+'8.Cash Flow '!F26</f>
        <v>1445672.411532247</v>
      </c>
      <c r="G115" s="81">
        <f>'8.Cash Flow '!G25+'8.Cash Flow '!G26</f>
        <v>1445672.4115322465</v>
      </c>
      <c r="H115" s="81">
        <f>'8.Cash Flow '!H25+'8.Cash Flow '!H26</f>
        <v>1445672.4115322467</v>
      </c>
      <c r="I115" s="81">
        <f>'8.Cash Flow '!I25+'8.Cash Flow '!I26</f>
        <v>1445672.4115322467</v>
      </c>
    </row>
    <row r="116" spans="2:18">
      <c r="B116" s="77"/>
      <c r="C116" s="77"/>
      <c r="D116" s="77"/>
      <c r="E116" s="77"/>
      <c r="F116" s="77"/>
      <c r="G116" s="77"/>
      <c r="H116" s="77"/>
      <c r="I116" s="77"/>
    </row>
    <row r="117" spans="2:18">
      <c r="B117" s="79" t="s">
        <v>339</v>
      </c>
      <c r="C117" s="82">
        <f>C113/C115</f>
        <v>2.3117900538567331</v>
      </c>
      <c r="D117" s="82">
        <f t="shared" ref="D117:I117" si="12">D113/D115</f>
        <v>2.2168191015280585</v>
      </c>
      <c r="E117" s="82">
        <f t="shared" si="12"/>
        <v>2.7208637004073584</v>
      </c>
      <c r="F117" s="82">
        <f>F113/F115-1</f>
        <v>2.2846406704483195</v>
      </c>
      <c r="G117" s="82">
        <f>G113/G115-1</f>
        <v>2.9111440157911574</v>
      </c>
      <c r="H117" s="82">
        <f t="shared" si="12"/>
        <v>4.7123335898383765</v>
      </c>
      <c r="I117" s="82">
        <f t="shared" si="12"/>
        <v>5.4538455049922865</v>
      </c>
    </row>
    <row r="118" spans="2:18">
      <c r="B118" s="76"/>
      <c r="C118" s="76"/>
      <c r="D118" s="76"/>
      <c r="E118" s="76"/>
      <c r="F118" s="76"/>
      <c r="G118" s="76"/>
      <c r="H118" s="76"/>
      <c r="I118" s="76"/>
    </row>
    <row r="119" spans="2:18">
      <c r="B119" s="76" t="s">
        <v>340</v>
      </c>
      <c r="C119" s="83">
        <f>AVERAGE(C117:G117)</f>
        <v>2.4890515084063254</v>
      </c>
      <c r="D119" s="76"/>
      <c r="E119" s="76"/>
      <c r="F119" s="76"/>
      <c r="G119" s="76"/>
      <c r="H119" s="76"/>
      <c r="I119" s="76"/>
    </row>
    <row r="121" spans="2:18" ht="29.45" customHeight="1">
      <c r="B121" s="368" t="s">
        <v>437</v>
      </c>
      <c r="C121" s="368"/>
      <c r="D121" s="368"/>
      <c r="E121" s="368"/>
      <c r="F121" s="368"/>
      <c r="G121" s="368"/>
      <c r="H121" s="368"/>
      <c r="I121" s="368"/>
      <c r="J121" s="368"/>
    </row>
    <row r="123" spans="2:18" ht="21">
      <c r="B123" s="399" t="s">
        <v>578</v>
      </c>
      <c r="C123" s="400"/>
      <c r="D123" s="400"/>
      <c r="E123" s="400"/>
      <c r="F123" s="400"/>
      <c r="G123" s="400"/>
      <c r="H123" s="400"/>
      <c r="I123" s="400"/>
      <c r="K123" s="401"/>
      <c r="L123" s="401"/>
      <c r="M123" s="401"/>
      <c r="N123" s="401"/>
      <c r="O123" s="401"/>
      <c r="P123" s="401"/>
      <c r="Q123" s="401"/>
      <c r="R123" s="401"/>
    </row>
    <row r="124" spans="2:18">
      <c r="B124" s="67" t="s">
        <v>354</v>
      </c>
      <c r="C124" s="68" t="s">
        <v>2</v>
      </c>
      <c r="D124" s="68" t="s">
        <v>3</v>
      </c>
      <c r="E124" s="68" t="s">
        <v>4</v>
      </c>
      <c r="F124" s="68" t="s">
        <v>5</v>
      </c>
      <c r="G124" s="68" t="s">
        <v>6</v>
      </c>
      <c r="H124" s="68" t="s">
        <v>169</v>
      </c>
      <c r="I124" s="68" t="s">
        <v>168</v>
      </c>
    </row>
    <row r="125" spans="2:18">
      <c r="B125" s="60" t="str">
        <f>'6.Cons Profit &amp; Loss'!A8</f>
        <v>Faclitiy 1 - Trading</v>
      </c>
      <c r="C125" s="287">
        <f>'6.Cons Profit &amp; Loss'!B8*(1+$M$126)</f>
        <v>0</v>
      </c>
      <c r="D125" s="287">
        <f>'6.Cons Profit &amp; Loss'!C8*(1+$M$126)</f>
        <v>0</v>
      </c>
      <c r="E125" s="287">
        <f>'6.Cons Profit &amp; Loss'!D8*(1+$M$126)</f>
        <v>0</v>
      </c>
      <c r="F125" s="287">
        <f>'6.Cons Profit &amp; Loss'!E8*(1+$M$126)</f>
        <v>0</v>
      </c>
      <c r="G125" s="287">
        <f>'6.Cons Profit &amp; Loss'!F8*(1+$M$126)</f>
        <v>0</v>
      </c>
      <c r="H125" s="287">
        <f>'6.Cons Profit &amp; Loss'!G8*(1+$M$126)</f>
        <v>0</v>
      </c>
      <c r="I125" s="287">
        <f>'6.Cons Profit &amp; Loss'!H8*(1+$M$126)</f>
        <v>0</v>
      </c>
    </row>
    <row r="126" spans="2:18">
      <c r="B126" s="60" t="str">
        <f>'6.Cons Profit &amp; Loss'!A9</f>
        <v>Faclitiy 2 - Processing Unit- Dal Mill</v>
      </c>
      <c r="C126" s="287">
        <f>'6.Cons Profit &amp; Loss'!B9*(1+$M$126)</f>
        <v>105156129.11949602</v>
      </c>
      <c r="D126" s="287">
        <f>'6.Cons Profit &amp; Loss'!C9*(1+$M$126)</f>
        <v>124499039.84224564</v>
      </c>
      <c r="E126" s="287">
        <f>'6.Cons Profit &amp; Loss'!D9*(1+$M$126)</f>
        <v>140093679.77218282</v>
      </c>
      <c r="F126" s="287">
        <f>'6.Cons Profit &amp; Loss'!E9*(1+$M$126)</f>
        <v>156936536.09550816</v>
      </c>
      <c r="G126" s="287">
        <f>'6.Cons Profit &amp; Loss'!F9*(1+$M$126)</f>
        <v>175113443.85173556</v>
      </c>
      <c r="H126" s="287">
        <f>'6.Cons Profit &amp; Loss'!G9*(1+$M$126)</f>
        <v>194715701.04334688</v>
      </c>
      <c r="I126" s="287">
        <f>'6.Cons Profit &amp; Loss'!H9*(1+$M$126)</f>
        <v>215840400.34448999</v>
      </c>
      <c r="L126" s="5" t="s">
        <v>375</v>
      </c>
      <c r="M126" s="245">
        <v>0.05</v>
      </c>
    </row>
    <row r="127" spans="2:18">
      <c r="B127" s="60" t="str">
        <f>'6.Cons Profit &amp; Loss'!A10</f>
        <v>Faclitiy 3 - Warehouse</v>
      </c>
      <c r="C127" s="287">
        <f>'6.Cons Profit &amp; Loss'!B10*(1+$M$126)</f>
        <v>441000</v>
      </c>
      <c r="D127" s="287">
        <f>'6.Cons Profit &amp; Loss'!C10*(1+$M$126)</f>
        <v>496125</v>
      </c>
      <c r="E127" s="287">
        <f>'6.Cons Profit &amp; Loss'!D10*(1+$M$126)</f>
        <v>555660</v>
      </c>
      <c r="F127" s="287">
        <f>'6.Cons Profit &amp; Loss'!E10*(1+$M$126)</f>
        <v>619908.18750000023</v>
      </c>
      <c r="G127" s="287">
        <f>'6.Cons Profit &amp; Loss'!F10*(1+$M$126)</f>
        <v>689192.0437500003</v>
      </c>
      <c r="H127" s="287">
        <f>'6.Cons Profit &amp; Loss'!G10*(1+$M$126)</f>
        <v>723651.64593750041</v>
      </c>
      <c r="I127" s="287">
        <f>'6.Cons Profit &amp; Loss'!H10*(1+$M$126)</f>
        <v>759834.22823437548</v>
      </c>
      <c r="L127" s="5" t="s">
        <v>376</v>
      </c>
      <c r="M127" s="245">
        <v>0.05</v>
      </c>
    </row>
    <row r="128" spans="2:18">
      <c r="B128" s="60" t="str">
        <f>'6.Cons Profit &amp; Loss'!A11</f>
        <v xml:space="preserve">Faclitiy 4 - Custom Hiring </v>
      </c>
      <c r="C128" s="287">
        <f>'6.Cons Profit &amp; Loss'!B11*(1+$M$126)</f>
        <v>0</v>
      </c>
      <c r="D128" s="287">
        <f>'6.Cons Profit &amp; Loss'!C11*(1+$M$126)</f>
        <v>0</v>
      </c>
      <c r="E128" s="287">
        <f>'6.Cons Profit &amp; Loss'!D11*(1+$M$126)</f>
        <v>0</v>
      </c>
      <c r="F128" s="287">
        <f>'6.Cons Profit &amp; Loss'!E11*(1+$M$126)</f>
        <v>0</v>
      </c>
      <c r="G128" s="287">
        <f>'6.Cons Profit &amp; Loss'!F11*(1+$M$126)</f>
        <v>0</v>
      </c>
      <c r="H128" s="287">
        <f>'6.Cons Profit &amp; Loss'!G11*(1+$M$126)</f>
        <v>0</v>
      </c>
      <c r="I128" s="287">
        <f>'6.Cons Profit &amp; Loss'!H11*(1+$M$126)</f>
        <v>0</v>
      </c>
    </row>
    <row r="129" spans="2:9">
      <c r="B129" s="60" t="str">
        <f>'6.Cons Profit &amp; Loss'!A12</f>
        <v>Faclitiy 5 - Agri Input Centre</v>
      </c>
      <c r="C129" s="287">
        <f>'6.Cons Profit &amp; Loss'!B12*(1+$M$126)</f>
        <v>0</v>
      </c>
      <c r="D129" s="287">
        <f>'6.Cons Profit &amp; Loss'!C12*(1+$M$126)</f>
        <v>0</v>
      </c>
      <c r="E129" s="287">
        <f>'6.Cons Profit &amp; Loss'!D12*(1+$M$126)</f>
        <v>0</v>
      </c>
      <c r="F129" s="287">
        <f>'6.Cons Profit &amp; Loss'!E12*(1+$M$126)</f>
        <v>0</v>
      </c>
      <c r="G129" s="287">
        <f>'6.Cons Profit &amp; Loss'!F12*(1+$M$126)</f>
        <v>0</v>
      </c>
      <c r="H129" s="287">
        <f>'6.Cons Profit &amp; Loss'!G12*(1+$M$126)</f>
        <v>0</v>
      </c>
      <c r="I129" s="287">
        <f>'6.Cons Profit &amp; Loss'!H12*(1+$M$126)</f>
        <v>0</v>
      </c>
    </row>
    <row r="130" spans="2:9">
      <c r="B130" s="60" t="str">
        <f>'6.Cons Profit &amp; Loss'!A13</f>
        <v>Facility 6 - Processing Unit - Horti Commodity</v>
      </c>
      <c r="C130" s="287">
        <f>'6.Cons Profit &amp; Loss'!B13*(1+$M$126)</f>
        <v>0</v>
      </c>
      <c r="D130" s="287">
        <f>'6.Cons Profit &amp; Loss'!C13*(1+$M$126)</f>
        <v>0</v>
      </c>
      <c r="E130" s="287">
        <f>'6.Cons Profit &amp; Loss'!D13*(1+$M$126)</f>
        <v>0</v>
      </c>
      <c r="F130" s="287">
        <f>'6.Cons Profit &amp; Loss'!E13*(1+$M$126)</f>
        <v>0</v>
      </c>
      <c r="G130" s="287">
        <f>'6.Cons Profit &amp; Loss'!F13*(1+$M$126)</f>
        <v>0</v>
      </c>
      <c r="H130" s="287">
        <f>'6.Cons Profit &amp; Loss'!G13*(1+$M$126)</f>
        <v>0</v>
      </c>
      <c r="I130" s="287">
        <f>'6.Cons Profit &amp; Loss'!H13*(1+$M$126)</f>
        <v>0</v>
      </c>
    </row>
    <row r="131" spans="2:9">
      <c r="B131" s="60">
        <f>'6.Cons Profit &amp; Loss'!A14</f>
        <v>0</v>
      </c>
      <c r="C131" s="287">
        <f>'6.Cons Profit &amp; Loss'!B14*(1+$M$126)</f>
        <v>0</v>
      </c>
      <c r="D131" s="287">
        <f>'6.Cons Profit &amp; Loss'!C14*(1+$M$126)</f>
        <v>0</v>
      </c>
      <c r="E131" s="287">
        <f>'6.Cons Profit &amp; Loss'!D14*(1+$M$126)</f>
        <v>0</v>
      </c>
      <c r="F131" s="287">
        <f>'6.Cons Profit &amp; Loss'!E14*(1+$M$126)</f>
        <v>0</v>
      </c>
      <c r="G131" s="287">
        <f>'6.Cons Profit &amp; Loss'!F14*(1+$M$126)</f>
        <v>0</v>
      </c>
      <c r="H131" s="287">
        <f>'6.Cons Profit &amp; Loss'!G14*(1+$M$126)</f>
        <v>0</v>
      </c>
      <c r="I131" s="287">
        <f>'6.Cons Profit &amp; Loss'!H14*(1+$M$126)</f>
        <v>0</v>
      </c>
    </row>
    <row r="132" spans="2:9">
      <c r="B132" s="60" t="s">
        <v>355</v>
      </c>
      <c r="C132" s="287">
        <f>SUM(C125:C131)</f>
        <v>105597129.11949602</v>
      </c>
      <c r="D132" s="287">
        <f t="shared" ref="D132:I132" si="13">SUM(D125:D131)</f>
        <v>124995164.84224564</v>
      </c>
      <c r="E132" s="287">
        <f t="shared" si="13"/>
        <v>140649339.77218282</v>
      </c>
      <c r="F132" s="287">
        <f t="shared" si="13"/>
        <v>157556444.28300816</v>
      </c>
      <c r="G132" s="287">
        <f t="shared" si="13"/>
        <v>175802635.89548555</v>
      </c>
      <c r="H132" s="287">
        <f t="shared" si="13"/>
        <v>195439352.68928438</v>
      </c>
      <c r="I132" s="287">
        <f t="shared" si="13"/>
        <v>216600234.57272437</v>
      </c>
    </row>
    <row r="133" spans="2:9">
      <c r="B133" s="60" t="s">
        <v>356</v>
      </c>
      <c r="C133" s="287"/>
      <c r="D133" s="287"/>
      <c r="E133" s="287"/>
      <c r="F133" s="287"/>
      <c r="G133" s="287"/>
      <c r="H133" s="287"/>
      <c r="I133" s="287"/>
    </row>
    <row r="134" spans="2:9">
      <c r="B134" s="60" t="s">
        <v>357</v>
      </c>
      <c r="C134" s="287">
        <f>'6.Cons Profit &amp; Loss'!B36</f>
        <v>3296000</v>
      </c>
      <c r="D134" s="287">
        <f>'6.Cons Profit &amp; Loss'!C36</f>
        <v>3460800</v>
      </c>
      <c r="E134" s="287">
        <f>'6.Cons Profit &amp; Loss'!D36</f>
        <v>3633840</v>
      </c>
      <c r="F134" s="287">
        <f>'6.Cons Profit &amp; Loss'!E36</f>
        <v>3815532.0000000005</v>
      </c>
      <c r="G134" s="287">
        <f>'6.Cons Profit &amp; Loss'!F36</f>
        <v>4006308.6000000006</v>
      </c>
      <c r="H134" s="287">
        <f>'6.Cons Profit &amp; Loss'!G36</f>
        <v>4206624.0300000012</v>
      </c>
      <c r="I134" s="287">
        <f>'6.Cons Profit &amp; Loss'!H36</f>
        <v>4416955.2315000007</v>
      </c>
    </row>
    <row r="135" spans="2:9">
      <c r="B135" s="60" t="s">
        <v>312</v>
      </c>
      <c r="C135" s="287">
        <f>'6.Cons Profit &amp; Loss'!B25*(1+M126)</f>
        <v>96671287.836858019</v>
      </c>
      <c r="D135" s="287">
        <f>'6.Cons Profit &amp; Loss'!C25*(1+N126)</f>
        <v>108897432.22856404</v>
      </c>
      <c r="E135" s="287">
        <f>'6.Cons Profit &amp; Loss'!D25*(1+O126)</f>
        <v>122530982.52455555</v>
      </c>
      <c r="F135" s="287">
        <f>'6.Cons Profit &amp; Loss'!E25*(1+P126)</f>
        <v>137255644.26957479</v>
      </c>
      <c r="G135" s="287">
        <f>'6.Cons Profit &amp; Loss'!F25*(1+Q126)</f>
        <v>153146444.73278463</v>
      </c>
      <c r="H135" s="287">
        <f>'6.Cons Profit &amp; Loss'!G25*(1+R126)</f>
        <v>170283186.13164142</v>
      </c>
      <c r="I135" s="287">
        <f>'6.Cons Profit &amp; Loss'!H25*(1+S126)</f>
        <v>188750735.55855194</v>
      </c>
    </row>
    <row r="136" spans="2:9">
      <c r="B136" s="60" t="s">
        <v>358</v>
      </c>
      <c r="C136" s="287">
        <f t="shared" ref="C136:I136" si="14">SUM(C134:C135)</f>
        <v>99967287.836858019</v>
      </c>
      <c r="D136" s="287">
        <f t="shared" si="14"/>
        <v>112358232.22856404</v>
      </c>
      <c r="E136" s="287">
        <f t="shared" si="14"/>
        <v>126164822.52455555</v>
      </c>
      <c r="F136" s="287">
        <f t="shared" si="14"/>
        <v>141071176.26957479</v>
      </c>
      <c r="G136" s="287">
        <f t="shared" si="14"/>
        <v>157152753.33278462</v>
      </c>
      <c r="H136" s="287">
        <f t="shared" si="14"/>
        <v>174489810.16164142</v>
      </c>
      <c r="I136" s="287">
        <f t="shared" si="14"/>
        <v>193167690.79005194</v>
      </c>
    </row>
    <row r="137" spans="2:9">
      <c r="B137" s="63" t="s">
        <v>359</v>
      </c>
      <c r="C137" s="289">
        <f t="shared" ref="C137:I137" si="15">+C132-C136</f>
        <v>5629841.2826379985</v>
      </c>
      <c r="D137" s="289">
        <f t="shared" si="15"/>
        <v>12636932.613681599</v>
      </c>
      <c r="E137" s="289">
        <f t="shared" si="15"/>
        <v>14484517.247627273</v>
      </c>
      <c r="F137" s="289">
        <f t="shared" si="15"/>
        <v>16485268.013433367</v>
      </c>
      <c r="G137" s="289">
        <f t="shared" si="15"/>
        <v>18649882.562700927</v>
      </c>
      <c r="H137" s="289">
        <f t="shared" si="15"/>
        <v>20949542.527642965</v>
      </c>
      <c r="I137" s="289">
        <f t="shared" si="15"/>
        <v>23432543.782672435</v>
      </c>
    </row>
    <row r="138" spans="2:9">
      <c r="B138" s="8"/>
      <c r="C138" s="65"/>
      <c r="D138" s="65"/>
      <c r="E138" s="65"/>
      <c r="F138" s="65"/>
      <c r="G138" s="65"/>
      <c r="H138" s="65"/>
      <c r="I138" s="65"/>
    </row>
    <row r="139" spans="2:9">
      <c r="B139" s="67" t="s">
        <v>360</v>
      </c>
      <c r="C139" s="68" t="s">
        <v>2</v>
      </c>
      <c r="D139" s="68" t="s">
        <v>3</v>
      </c>
      <c r="E139" s="68" t="s">
        <v>4</v>
      </c>
      <c r="F139" s="68" t="s">
        <v>5</v>
      </c>
      <c r="G139" s="68" t="s">
        <v>6</v>
      </c>
      <c r="H139" s="68" t="s">
        <v>169</v>
      </c>
      <c r="I139" s="68" t="s">
        <v>168</v>
      </c>
    </row>
    <row r="140" spans="2:9">
      <c r="B140" s="60" t="str">
        <f t="shared" ref="B140:B146" si="16">B125</f>
        <v>Faclitiy 1 - Trading</v>
      </c>
      <c r="C140" s="62">
        <f>'6.Cons Profit &amp; Loss'!B8</f>
        <v>0</v>
      </c>
      <c r="D140" s="62">
        <f>'6.Cons Profit &amp; Loss'!C8</f>
        <v>0</v>
      </c>
      <c r="E140" s="62">
        <f>'6.Cons Profit &amp; Loss'!D8</f>
        <v>0</v>
      </c>
      <c r="F140" s="62">
        <f>'6.Cons Profit &amp; Loss'!E8</f>
        <v>0</v>
      </c>
      <c r="G140" s="62">
        <f>'6.Cons Profit &amp; Loss'!F8</f>
        <v>0</v>
      </c>
      <c r="H140" s="62">
        <f>'6.Cons Profit &amp; Loss'!G8</f>
        <v>0</v>
      </c>
      <c r="I140" s="62">
        <f>'6.Cons Profit &amp; Loss'!H8</f>
        <v>0</v>
      </c>
    </row>
    <row r="141" spans="2:9">
      <c r="B141" s="60" t="str">
        <f t="shared" si="16"/>
        <v>Faclitiy 2 - Processing Unit- Dal Mill</v>
      </c>
      <c r="C141" s="62">
        <f>'6.Cons Profit &amp; Loss'!B9</f>
        <v>100148694.39952001</v>
      </c>
      <c r="D141" s="62">
        <f>'6.Cons Profit &amp; Loss'!C9</f>
        <v>118570514.13547203</v>
      </c>
      <c r="E141" s="62">
        <f>'6.Cons Profit &amp; Loss'!D9</f>
        <v>133422552.16398363</v>
      </c>
      <c r="F141" s="62">
        <f>'6.Cons Profit &amp; Loss'!E9</f>
        <v>149463367.71000776</v>
      </c>
      <c r="G141" s="62">
        <f>'6.Cons Profit &amp; Loss'!F9</f>
        <v>166774708.43022433</v>
      </c>
      <c r="H141" s="62">
        <f>'6.Cons Profit &amp; Loss'!G9</f>
        <v>185443524.80318749</v>
      </c>
      <c r="I141" s="62">
        <f>'6.Cons Profit &amp; Loss'!H9</f>
        <v>205562286.04237142</v>
      </c>
    </row>
    <row r="142" spans="2:9">
      <c r="B142" s="60" t="str">
        <f t="shared" si="16"/>
        <v>Faclitiy 3 - Warehouse</v>
      </c>
      <c r="C142" s="62">
        <f>'6.Cons Profit &amp; Loss'!B10</f>
        <v>420000</v>
      </c>
      <c r="D142" s="62">
        <f>'6.Cons Profit &amp; Loss'!C10</f>
        <v>472500</v>
      </c>
      <c r="E142" s="62">
        <f>'6.Cons Profit &amp; Loss'!D10</f>
        <v>529200</v>
      </c>
      <c r="F142" s="62">
        <f>'6.Cons Profit &amp; Loss'!E10</f>
        <v>590388.75000000023</v>
      </c>
      <c r="G142" s="62">
        <f>'6.Cons Profit &amp; Loss'!F10</f>
        <v>656373.37500000023</v>
      </c>
      <c r="H142" s="62">
        <f>'6.Cons Profit &amp; Loss'!G10</f>
        <v>689192.0437500003</v>
      </c>
      <c r="I142" s="62">
        <f>'6.Cons Profit &amp; Loss'!H10</f>
        <v>723651.64593750041</v>
      </c>
    </row>
    <row r="143" spans="2:9">
      <c r="B143" s="60" t="str">
        <f t="shared" si="16"/>
        <v xml:space="preserve">Faclitiy 4 - Custom Hiring </v>
      </c>
      <c r="C143" s="62">
        <f>'6.Cons Profit &amp; Loss'!B11</f>
        <v>0</v>
      </c>
      <c r="D143" s="62">
        <f>'6.Cons Profit &amp; Loss'!C11</f>
        <v>0</v>
      </c>
      <c r="E143" s="62">
        <f>'6.Cons Profit &amp; Loss'!D11</f>
        <v>0</v>
      </c>
      <c r="F143" s="62">
        <f>'6.Cons Profit &amp; Loss'!E11</f>
        <v>0</v>
      </c>
      <c r="G143" s="62">
        <f>'6.Cons Profit &amp; Loss'!F11</f>
        <v>0</v>
      </c>
      <c r="H143" s="62">
        <f>'6.Cons Profit &amp; Loss'!G11</f>
        <v>0</v>
      </c>
      <c r="I143" s="62">
        <f>'6.Cons Profit &amp; Loss'!H11</f>
        <v>0</v>
      </c>
    </row>
    <row r="144" spans="2:9">
      <c r="B144" s="60" t="str">
        <f t="shared" si="16"/>
        <v>Faclitiy 5 - Agri Input Centre</v>
      </c>
      <c r="C144" s="62">
        <f>'6.Cons Profit &amp; Loss'!B12</f>
        <v>0</v>
      </c>
      <c r="D144" s="62">
        <f>'6.Cons Profit &amp; Loss'!C12</f>
        <v>0</v>
      </c>
      <c r="E144" s="62">
        <f>'6.Cons Profit &amp; Loss'!D12</f>
        <v>0</v>
      </c>
      <c r="F144" s="62">
        <f>'6.Cons Profit &amp; Loss'!E12</f>
        <v>0</v>
      </c>
      <c r="G144" s="62">
        <f>'6.Cons Profit &amp; Loss'!F12</f>
        <v>0</v>
      </c>
      <c r="H144" s="62">
        <f>'6.Cons Profit &amp; Loss'!G12</f>
        <v>0</v>
      </c>
      <c r="I144" s="62">
        <f>'6.Cons Profit &amp; Loss'!H12</f>
        <v>0</v>
      </c>
    </row>
    <row r="145" spans="2:15">
      <c r="B145" s="60" t="str">
        <f t="shared" si="16"/>
        <v>Facility 6 - Processing Unit - Horti Commodity</v>
      </c>
      <c r="C145" s="62">
        <f>'6.Cons Profit &amp; Loss'!B13</f>
        <v>0</v>
      </c>
      <c r="D145" s="62">
        <f>'6.Cons Profit &amp; Loss'!C13</f>
        <v>0</v>
      </c>
      <c r="E145" s="62">
        <f>'6.Cons Profit &amp; Loss'!D13</f>
        <v>0</v>
      </c>
      <c r="F145" s="62">
        <f>'6.Cons Profit &amp; Loss'!E13</f>
        <v>0</v>
      </c>
      <c r="G145" s="62">
        <f>'6.Cons Profit &amp; Loss'!F13</f>
        <v>0</v>
      </c>
      <c r="H145" s="62">
        <f>'6.Cons Profit &amp; Loss'!G13</f>
        <v>0</v>
      </c>
      <c r="I145" s="62">
        <f>'6.Cons Profit &amp; Loss'!H13</f>
        <v>0</v>
      </c>
    </row>
    <row r="146" spans="2:15">
      <c r="B146" s="60">
        <f t="shared" si="16"/>
        <v>0</v>
      </c>
      <c r="C146" s="62">
        <f>'6.Cons Profit &amp; Loss'!B14</f>
        <v>0</v>
      </c>
      <c r="D146" s="62">
        <f>'6.Cons Profit &amp; Loss'!C14</f>
        <v>0</v>
      </c>
      <c r="E146" s="62">
        <f>'6.Cons Profit &amp; Loss'!D14</f>
        <v>0</v>
      </c>
      <c r="F146" s="62">
        <f>'6.Cons Profit &amp; Loss'!E14</f>
        <v>0</v>
      </c>
      <c r="G146" s="62">
        <f>'6.Cons Profit &amp; Loss'!F14</f>
        <v>0</v>
      </c>
      <c r="H146" s="62">
        <f>'6.Cons Profit &amp; Loss'!G14</f>
        <v>0</v>
      </c>
      <c r="I146" s="62">
        <f>'6.Cons Profit &amp; Loss'!H14</f>
        <v>0</v>
      </c>
    </row>
    <row r="147" spans="2:15">
      <c r="B147" s="60" t="s">
        <v>355</v>
      </c>
      <c r="C147" s="62">
        <f>SUM(C140:C146)</f>
        <v>100568694.39952001</v>
      </c>
      <c r="D147" s="62">
        <f t="shared" ref="D147:I147" si="17">SUM(D140:D146)</f>
        <v>119043014.13547203</v>
      </c>
      <c r="E147" s="62">
        <f t="shared" si="17"/>
        <v>133951752.16398363</v>
      </c>
      <c r="F147" s="62">
        <f t="shared" si="17"/>
        <v>150053756.46000776</v>
      </c>
      <c r="G147" s="62">
        <f t="shared" si="17"/>
        <v>167431081.80522433</v>
      </c>
      <c r="H147" s="62">
        <f t="shared" si="17"/>
        <v>186132716.84693748</v>
      </c>
      <c r="I147" s="62">
        <f t="shared" si="17"/>
        <v>206285937.68830892</v>
      </c>
    </row>
    <row r="148" spans="2:15">
      <c r="B148" s="60" t="s">
        <v>356</v>
      </c>
      <c r="C148" s="66"/>
      <c r="D148" s="62"/>
      <c r="E148" s="62"/>
      <c r="F148" s="62"/>
      <c r="G148" s="62"/>
      <c r="H148" s="62"/>
      <c r="I148" s="62"/>
    </row>
    <row r="149" spans="2:15">
      <c r="B149" s="60" t="s">
        <v>357</v>
      </c>
      <c r="C149" s="61">
        <f>'6.Cons Profit &amp; Loss'!B36</f>
        <v>3296000</v>
      </c>
      <c r="D149" s="61">
        <f>'6.Cons Profit &amp; Loss'!C36</f>
        <v>3460800</v>
      </c>
      <c r="E149" s="61">
        <f>'6.Cons Profit &amp; Loss'!D36</f>
        <v>3633840</v>
      </c>
      <c r="F149" s="61">
        <f>'6.Cons Profit &amp; Loss'!E36</f>
        <v>3815532.0000000005</v>
      </c>
      <c r="G149" s="61">
        <f>'6.Cons Profit &amp; Loss'!F36</f>
        <v>4006308.6000000006</v>
      </c>
      <c r="H149" s="61">
        <f>'6.Cons Profit &amp; Loss'!G36</f>
        <v>4206624.0300000012</v>
      </c>
      <c r="I149" s="61">
        <f>'6.Cons Profit &amp; Loss'!H36</f>
        <v>4416955.2315000007</v>
      </c>
    </row>
    <row r="150" spans="2:15">
      <c r="B150" s="60" t="s">
        <v>312</v>
      </c>
      <c r="C150" s="61">
        <f>'6.Cons Profit &amp; Loss'!B25*(1+$M$127)</f>
        <v>96671287.836858019</v>
      </c>
      <c r="D150" s="61">
        <f>'6.Cons Profit &amp; Loss'!C25*(1+$M$127)</f>
        <v>114342303.83999224</v>
      </c>
      <c r="E150" s="61">
        <f>'6.Cons Profit &amp; Loss'!D25*(1+$M$127)</f>
        <v>128657531.65078333</v>
      </c>
      <c r="F150" s="61">
        <f>'6.Cons Profit &amp; Loss'!E25*(1+$M$127)</f>
        <v>144118426.48305354</v>
      </c>
      <c r="G150" s="61">
        <f>'6.Cons Profit &amp; Loss'!F25*(1+$M$127)</f>
        <v>160803766.96942386</v>
      </c>
      <c r="H150" s="61">
        <f>'6.Cons Profit &amp; Loss'!G25*(1+$M$127)</f>
        <v>178797345.43822351</v>
      </c>
      <c r="I150" s="61">
        <f>'6.Cons Profit &amp; Loss'!H25*(1+$M$127)</f>
        <v>198188272.33647954</v>
      </c>
    </row>
    <row r="151" spans="2:15">
      <c r="B151" s="60" t="s">
        <v>358</v>
      </c>
      <c r="C151" s="61">
        <f t="shared" ref="C151:I151" si="18">SUM(C149:C150)</f>
        <v>99967287.836858019</v>
      </c>
      <c r="D151" s="61">
        <f t="shared" si="18"/>
        <v>117803103.83999224</v>
      </c>
      <c r="E151" s="61">
        <f t="shared" si="18"/>
        <v>132291371.65078333</v>
      </c>
      <c r="F151" s="61">
        <f t="shared" si="18"/>
        <v>147933958.48305354</v>
      </c>
      <c r="G151" s="61">
        <f t="shared" si="18"/>
        <v>164810075.56942385</v>
      </c>
      <c r="H151" s="61">
        <f t="shared" si="18"/>
        <v>183003969.46822351</v>
      </c>
      <c r="I151" s="61">
        <f t="shared" si="18"/>
        <v>202605227.56797954</v>
      </c>
    </row>
    <row r="152" spans="2:15">
      <c r="B152" s="63" t="s">
        <v>359</v>
      </c>
      <c r="C152" s="64">
        <f t="shared" ref="C152:I152" si="19">+C147-C151</f>
        <v>601406.56266199052</v>
      </c>
      <c r="D152" s="64">
        <f t="shared" si="19"/>
        <v>1239910.2954797894</v>
      </c>
      <c r="E152" s="64">
        <f t="shared" si="19"/>
        <v>1660380.513200298</v>
      </c>
      <c r="F152" s="64">
        <f t="shared" si="19"/>
        <v>2119797.9769542217</v>
      </c>
      <c r="G152" s="64">
        <f t="shared" si="19"/>
        <v>2621006.2358004749</v>
      </c>
      <c r="H152" s="64">
        <f t="shared" si="19"/>
        <v>3128747.3787139654</v>
      </c>
      <c r="I152" s="64">
        <f t="shared" si="19"/>
        <v>3680710.12032938</v>
      </c>
      <c r="N152" s="4"/>
      <c r="O152" s="6"/>
    </row>
    <row r="153" spans="2:15">
      <c r="B153" s="8"/>
      <c r="C153" s="65"/>
      <c r="D153" s="65"/>
      <c r="E153" s="65"/>
      <c r="F153" s="65"/>
      <c r="G153" s="65"/>
      <c r="H153" s="65"/>
      <c r="I153" s="65"/>
    </row>
    <row r="154" spans="2:15">
      <c r="B154" s="67" t="s">
        <v>361</v>
      </c>
      <c r="C154" s="68" t="s">
        <v>2</v>
      </c>
      <c r="D154" s="68" t="s">
        <v>3</v>
      </c>
      <c r="E154" s="68" t="s">
        <v>4</v>
      </c>
      <c r="F154" s="68" t="s">
        <v>5</v>
      </c>
      <c r="G154" s="68" t="s">
        <v>6</v>
      </c>
      <c r="H154" s="68" t="s">
        <v>169</v>
      </c>
      <c r="I154" s="68" t="s">
        <v>168</v>
      </c>
    </row>
    <row r="155" spans="2:15">
      <c r="B155" s="60" t="str">
        <f t="shared" ref="B155:B161" si="20">B140</f>
        <v>Faclitiy 1 - Trading</v>
      </c>
      <c r="C155" s="287">
        <f>'6.Cons Profit &amp; Loss'!B8*(1-$M$126)</f>
        <v>0</v>
      </c>
      <c r="D155" s="287">
        <f>'6.Cons Profit &amp; Loss'!C8*(1-$M$126)</f>
        <v>0</v>
      </c>
      <c r="E155" s="287">
        <f>'6.Cons Profit &amp; Loss'!D8*(1-$M$126)</f>
        <v>0</v>
      </c>
      <c r="F155" s="287">
        <f>'6.Cons Profit &amp; Loss'!E8*(1-$M$126)</f>
        <v>0</v>
      </c>
      <c r="G155" s="287">
        <f>'6.Cons Profit &amp; Loss'!F8*(1-$M$126)</f>
        <v>0</v>
      </c>
      <c r="H155" s="287">
        <f>'6.Cons Profit &amp; Loss'!G8*(1-$M$126)</f>
        <v>0</v>
      </c>
      <c r="I155" s="287">
        <f>'6.Cons Profit &amp; Loss'!H8*(1-$M$126)</f>
        <v>0</v>
      </c>
    </row>
    <row r="156" spans="2:15">
      <c r="B156" s="60" t="str">
        <f t="shared" si="20"/>
        <v>Faclitiy 2 - Processing Unit- Dal Mill</v>
      </c>
      <c r="C156" s="287">
        <f>'6.Cons Profit &amp; Loss'!B9*(1-$M$126)</f>
        <v>95141259.679544002</v>
      </c>
      <c r="D156" s="287">
        <f>'6.Cons Profit &amp; Loss'!C9*(1-$M$126)</f>
        <v>112641988.42869842</v>
      </c>
      <c r="E156" s="287">
        <f>'6.Cons Profit &amp; Loss'!D9*(1-$M$126)</f>
        <v>126751424.55578443</v>
      </c>
      <c r="F156" s="287">
        <f>'6.Cons Profit &amp; Loss'!E9*(1-$M$126)</f>
        <v>141990199.32450736</v>
      </c>
      <c r="G156" s="287">
        <f>'6.Cons Profit &amp; Loss'!F9*(1-$M$126)</f>
        <v>158435973.0087131</v>
      </c>
      <c r="H156" s="287">
        <f>'6.Cons Profit &amp; Loss'!G9*(1-$M$126)</f>
        <v>176171348.5630281</v>
      </c>
      <c r="I156" s="287">
        <f>'6.Cons Profit &amp; Loss'!H9*(1-$M$126)</f>
        <v>195284171.74025285</v>
      </c>
    </row>
    <row r="157" spans="2:15">
      <c r="B157" s="60" t="str">
        <f t="shared" si="20"/>
        <v>Faclitiy 3 - Warehouse</v>
      </c>
      <c r="C157" s="287">
        <f>'6.Cons Profit &amp; Loss'!B10*(1-$M$126)</f>
        <v>399000</v>
      </c>
      <c r="D157" s="287">
        <f>'6.Cons Profit &amp; Loss'!C10*(1-$M$126)</f>
        <v>448875</v>
      </c>
      <c r="E157" s="287">
        <f>'6.Cons Profit &amp; Loss'!D10*(1-$M$126)</f>
        <v>502740</v>
      </c>
      <c r="F157" s="287">
        <f>'6.Cons Profit &amp; Loss'!E10*(1-$M$126)</f>
        <v>560869.31250000023</v>
      </c>
      <c r="G157" s="287">
        <f>'6.Cons Profit &amp; Loss'!F10*(1-$M$126)</f>
        <v>623554.70625000016</v>
      </c>
      <c r="H157" s="287">
        <f>'6.Cons Profit &amp; Loss'!G10*(1-$M$126)</f>
        <v>654732.4415625002</v>
      </c>
      <c r="I157" s="287">
        <f>'6.Cons Profit &amp; Loss'!H10*(1-$M$126)</f>
        <v>687469.06364062533</v>
      </c>
    </row>
    <row r="158" spans="2:15">
      <c r="B158" s="60" t="str">
        <f t="shared" si="20"/>
        <v xml:space="preserve">Faclitiy 4 - Custom Hiring </v>
      </c>
      <c r="C158" s="287">
        <f>'6.Cons Profit &amp; Loss'!B11*(1-$M$126)</f>
        <v>0</v>
      </c>
      <c r="D158" s="287">
        <f>'6.Cons Profit &amp; Loss'!C11*(1-$M$126)</f>
        <v>0</v>
      </c>
      <c r="E158" s="287">
        <f>'6.Cons Profit &amp; Loss'!D11*(1-$M$126)</f>
        <v>0</v>
      </c>
      <c r="F158" s="287">
        <f>'6.Cons Profit &amp; Loss'!E11*(1-$M$126)</f>
        <v>0</v>
      </c>
      <c r="G158" s="287">
        <f>'6.Cons Profit &amp; Loss'!F11*(1-$M$126)</f>
        <v>0</v>
      </c>
      <c r="H158" s="287">
        <f>'6.Cons Profit &amp; Loss'!G11*(1-$M$126)</f>
        <v>0</v>
      </c>
      <c r="I158" s="287">
        <f>'6.Cons Profit &amp; Loss'!H11*(1-$M$126)</f>
        <v>0</v>
      </c>
    </row>
    <row r="159" spans="2:15">
      <c r="B159" s="60" t="str">
        <f t="shared" si="20"/>
        <v>Faclitiy 5 - Agri Input Centre</v>
      </c>
      <c r="C159" s="287">
        <f>'6.Cons Profit &amp; Loss'!B12*(1-$M$126)</f>
        <v>0</v>
      </c>
      <c r="D159" s="287">
        <f>'6.Cons Profit &amp; Loss'!C12*(1-$M$126)</f>
        <v>0</v>
      </c>
      <c r="E159" s="287">
        <f>'6.Cons Profit &amp; Loss'!D12*(1-$M$126)</f>
        <v>0</v>
      </c>
      <c r="F159" s="287">
        <f>'6.Cons Profit &amp; Loss'!E12*(1-$M$126)</f>
        <v>0</v>
      </c>
      <c r="G159" s="287">
        <f>'6.Cons Profit &amp; Loss'!F12*(1-$M$126)</f>
        <v>0</v>
      </c>
      <c r="H159" s="287">
        <f>'6.Cons Profit &amp; Loss'!G12*(1-$M$126)</f>
        <v>0</v>
      </c>
      <c r="I159" s="287">
        <f>'6.Cons Profit &amp; Loss'!H12*(1-$M$126)</f>
        <v>0</v>
      </c>
    </row>
    <row r="160" spans="2:15">
      <c r="B160" s="60" t="str">
        <f t="shared" si="20"/>
        <v>Facility 6 - Processing Unit - Horti Commodity</v>
      </c>
      <c r="C160" s="287">
        <f>'6.Cons Profit &amp; Loss'!B13*(1-$M$126)</f>
        <v>0</v>
      </c>
      <c r="D160" s="287">
        <f>'6.Cons Profit &amp; Loss'!C13*(1-$M$126)</f>
        <v>0</v>
      </c>
      <c r="E160" s="287">
        <f>'6.Cons Profit &amp; Loss'!D13*(1-$M$126)</f>
        <v>0</v>
      </c>
      <c r="F160" s="287">
        <f>'6.Cons Profit &amp; Loss'!E13*(1-$M$126)</f>
        <v>0</v>
      </c>
      <c r="G160" s="287">
        <f>'6.Cons Profit &amp; Loss'!F13*(1-$M$126)</f>
        <v>0</v>
      </c>
      <c r="H160" s="287">
        <f>'6.Cons Profit &amp; Loss'!G13*(1-$M$126)</f>
        <v>0</v>
      </c>
      <c r="I160" s="287">
        <f>'6.Cons Profit &amp; Loss'!H13*(1-$M$126)</f>
        <v>0</v>
      </c>
    </row>
    <row r="161" spans="2:9">
      <c r="B161" s="60">
        <f t="shared" si="20"/>
        <v>0</v>
      </c>
      <c r="C161" s="287">
        <f>'6.Cons Profit &amp; Loss'!B14*(1-$M$126)</f>
        <v>0</v>
      </c>
      <c r="D161" s="287">
        <f>'6.Cons Profit &amp; Loss'!C14*(1-$M$126)</f>
        <v>0</v>
      </c>
      <c r="E161" s="287">
        <f>'6.Cons Profit &amp; Loss'!D14*(1-$M$126)</f>
        <v>0</v>
      </c>
      <c r="F161" s="287">
        <f>'6.Cons Profit &amp; Loss'!E14*(1-$M$126)</f>
        <v>0</v>
      </c>
      <c r="G161" s="287">
        <f>'6.Cons Profit &amp; Loss'!F14*(1-$M$126)</f>
        <v>0</v>
      </c>
      <c r="H161" s="287">
        <f>'6.Cons Profit &amp; Loss'!G14*(1-$M$126)</f>
        <v>0</v>
      </c>
      <c r="I161" s="287">
        <f>'6.Cons Profit &amp; Loss'!H14*(1-$M$126)</f>
        <v>0</v>
      </c>
    </row>
    <row r="162" spans="2:9">
      <c r="B162" s="60" t="s">
        <v>355</v>
      </c>
      <c r="C162" s="287">
        <f>SUM(C155:C161)</f>
        <v>95540259.679544002</v>
      </c>
      <c r="D162" s="287">
        <f t="shared" ref="D162:I162" si="21">SUM(D155:D161)</f>
        <v>113090863.42869842</v>
      </c>
      <c r="E162" s="287">
        <f t="shared" si="21"/>
        <v>127254164.55578443</v>
      </c>
      <c r="F162" s="287">
        <f t="shared" si="21"/>
        <v>142551068.63700736</v>
      </c>
      <c r="G162" s="287">
        <f t="shared" si="21"/>
        <v>159059527.71496311</v>
      </c>
      <c r="H162" s="287">
        <f t="shared" si="21"/>
        <v>176826081.0045906</v>
      </c>
      <c r="I162" s="287">
        <f t="shared" si="21"/>
        <v>195971640.80389348</v>
      </c>
    </row>
    <row r="163" spans="2:9">
      <c r="B163" s="60" t="s">
        <v>356</v>
      </c>
      <c r="C163" s="287"/>
      <c r="D163" s="287"/>
      <c r="E163" s="287"/>
      <c r="F163" s="287"/>
      <c r="G163" s="287"/>
      <c r="H163" s="287"/>
      <c r="I163" s="287"/>
    </row>
    <row r="164" spans="2:9">
      <c r="B164" s="60" t="s">
        <v>357</v>
      </c>
      <c r="C164" s="287">
        <f>'6.Cons Profit &amp; Loss'!B36</f>
        <v>3296000</v>
      </c>
      <c r="D164" s="287">
        <f>'6.Cons Profit &amp; Loss'!C36</f>
        <v>3460800</v>
      </c>
      <c r="E164" s="287">
        <f>'6.Cons Profit &amp; Loss'!D36</f>
        <v>3633840</v>
      </c>
      <c r="F164" s="287">
        <f>'6.Cons Profit &amp; Loss'!E36</f>
        <v>3815532.0000000005</v>
      </c>
      <c r="G164" s="287">
        <f>'6.Cons Profit &amp; Loss'!F36</f>
        <v>4006308.6000000006</v>
      </c>
      <c r="H164" s="287">
        <f>'6.Cons Profit &amp; Loss'!G36</f>
        <v>4206624.0300000012</v>
      </c>
      <c r="I164" s="287">
        <f>'6.Cons Profit &amp; Loss'!H36</f>
        <v>4416955.2315000007</v>
      </c>
    </row>
    <row r="165" spans="2:9">
      <c r="B165" s="60" t="s">
        <v>312</v>
      </c>
      <c r="C165" s="287">
        <f>'6.Cons Profit &amp; Loss'!B25*(1-$M$126)</f>
        <v>87464498.519061998</v>
      </c>
      <c r="D165" s="287">
        <f>'6.Cons Profit &amp; Loss'!C25*(1-$M$126)</f>
        <v>103452560.61713584</v>
      </c>
      <c r="E165" s="287">
        <f>'6.Cons Profit &amp; Loss'!D25*(1-$M$126)</f>
        <v>116404433.39832777</v>
      </c>
      <c r="F165" s="287">
        <f>'6.Cons Profit &amp; Loss'!E25*(1-$M$126)</f>
        <v>130392862.05609605</v>
      </c>
      <c r="G165" s="287">
        <f>'6.Cons Profit &amp; Loss'!F25*(1-$M$126)</f>
        <v>145489122.4961454</v>
      </c>
      <c r="H165" s="287">
        <f>'6.Cons Profit &amp; Loss'!G25*(1-$M$126)</f>
        <v>161769026.82505932</v>
      </c>
      <c r="I165" s="287">
        <f>'6.Cons Profit &amp; Loss'!H25*(1-$M$126)</f>
        <v>179313198.78062433</v>
      </c>
    </row>
    <row r="166" spans="2:9">
      <c r="B166" s="60" t="s">
        <v>358</v>
      </c>
      <c r="C166" s="287">
        <f t="shared" ref="C166:I166" si="22">SUM(C164:C165)</f>
        <v>90760498.519061998</v>
      </c>
      <c r="D166" s="287">
        <f t="shared" si="22"/>
        <v>106913360.61713584</v>
      </c>
      <c r="E166" s="287">
        <f t="shared" si="22"/>
        <v>120038273.39832777</v>
      </c>
      <c r="F166" s="287">
        <f t="shared" si="22"/>
        <v>134208394.05609605</v>
      </c>
      <c r="G166" s="287">
        <f t="shared" si="22"/>
        <v>149495431.09614539</v>
      </c>
      <c r="H166" s="287">
        <f t="shared" si="22"/>
        <v>165975650.85505933</v>
      </c>
      <c r="I166" s="287">
        <f t="shared" si="22"/>
        <v>183730154.01212433</v>
      </c>
    </row>
    <row r="167" spans="2:9">
      <c r="B167" s="63" t="s">
        <v>359</v>
      </c>
      <c r="C167" s="289">
        <f t="shared" ref="C167:I167" si="23">+C162-C166</f>
        <v>4779761.1604820043</v>
      </c>
      <c r="D167" s="289">
        <f t="shared" si="23"/>
        <v>6177502.8115625829</v>
      </c>
      <c r="E167" s="289">
        <f t="shared" si="23"/>
        <v>7215891.1574566662</v>
      </c>
      <c r="F167" s="289">
        <f t="shared" si="23"/>
        <v>8342674.5809113085</v>
      </c>
      <c r="G167" s="289">
        <f t="shared" si="23"/>
        <v>9564096.6188177168</v>
      </c>
      <c r="H167" s="289">
        <f t="shared" si="23"/>
        <v>10850430.149531275</v>
      </c>
      <c r="I167" s="289">
        <f t="shared" si="23"/>
        <v>12241486.791769147</v>
      </c>
    </row>
    <row r="168" spans="2:9">
      <c r="C168" s="65"/>
      <c r="D168" s="65"/>
      <c r="E168" s="65"/>
      <c r="F168" s="65"/>
      <c r="G168" s="65"/>
      <c r="H168" s="65"/>
      <c r="I168" s="65"/>
    </row>
    <row r="169" spans="2:9">
      <c r="B169" s="67" t="s">
        <v>362</v>
      </c>
      <c r="C169" s="68" t="s">
        <v>2</v>
      </c>
      <c r="D169" s="68" t="s">
        <v>3</v>
      </c>
      <c r="E169" s="68" t="s">
        <v>4</v>
      </c>
      <c r="F169" s="68" t="s">
        <v>5</v>
      </c>
      <c r="G169" s="68" t="s">
        <v>6</v>
      </c>
      <c r="H169" s="68" t="s">
        <v>169</v>
      </c>
      <c r="I169" s="68" t="s">
        <v>168</v>
      </c>
    </row>
    <row r="170" spans="2:9">
      <c r="B170" s="60" t="str">
        <f t="shared" ref="B170:B176" si="24">B155</f>
        <v>Faclitiy 1 - Trading</v>
      </c>
      <c r="C170" s="62">
        <f>'6.Cons Profit &amp; Loss'!B8</f>
        <v>0</v>
      </c>
      <c r="D170" s="62">
        <f>'6.Cons Profit &amp; Loss'!C8</f>
        <v>0</v>
      </c>
      <c r="E170" s="62">
        <f>'6.Cons Profit &amp; Loss'!D8</f>
        <v>0</v>
      </c>
      <c r="F170" s="62">
        <f>'6.Cons Profit &amp; Loss'!E8</f>
        <v>0</v>
      </c>
      <c r="G170" s="62">
        <f>'6.Cons Profit &amp; Loss'!F8</f>
        <v>0</v>
      </c>
      <c r="H170" s="62">
        <f>'6.Cons Profit &amp; Loss'!G8</f>
        <v>0</v>
      </c>
      <c r="I170" s="62">
        <f>'6.Cons Profit &amp; Loss'!H8</f>
        <v>0</v>
      </c>
    </row>
    <row r="171" spans="2:9">
      <c r="B171" s="60" t="str">
        <f t="shared" si="24"/>
        <v>Faclitiy 2 - Processing Unit- Dal Mill</v>
      </c>
      <c r="C171" s="62">
        <f>'6.Cons Profit &amp; Loss'!B9</f>
        <v>100148694.39952001</v>
      </c>
      <c r="D171" s="62">
        <f>'6.Cons Profit &amp; Loss'!C9</f>
        <v>118570514.13547203</v>
      </c>
      <c r="E171" s="62">
        <f>'6.Cons Profit &amp; Loss'!D9</f>
        <v>133422552.16398363</v>
      </c>
      <c r="F171" s="62">
        <f>'6.Cons Profit &amp; Loss'!E9</f>
        <v>149463367.71000776</v>
      </c>
      <c r="G171" s="62">
        <f>'6.Cons Profit &amp; Loss'!F9</f>
        <v>166774708.43022433</v>
      </c>
      <c r="H171" s="62">
        <f>'6.Cons Profit &amp; Loss'!G9</f>
        <v>185443524.80318749</v>
      </c>
      <c r="I171" s="62">
        <f>'6.Cons Profit &amp; Loss'!H9</f>
        <v>205562286.04237142</v>
      </c>
    </row>
    <row r="172" spans="2:9">
      <c r="B172" s="60" t="str">
        <f t="shared" si="24"/>
        <v>Faclitiy 3 - Warehouse</v>
      </c>
      <c r="C172" s="62">
        <f>'6.Cons Profit &amp; Loss'!B10</f>
        <v>420000</v>
      </c>
      <c r="D172" s="62">
        <f>'6.Cons Profit &amp; Loss'!C10</f>
        <v>472500</v>
      </c>
      <c r="E172" s="62">
        <f>'6.Cons Profit &amp; Loss'!D10</f>
        <v>529200</v>
      </c>
      <c r="F172" s="62">
        <f>'6.Cons Profit &amp; Loss'!E10</f>
        <v>590388.75000000023</v>
      </c>
      <c r="G172" s="62">
        <f>'6.Cons Profit &amp; Loss'!F10</f>
        <v>656373.37500000023</v>
      </c>
      <c r="H172" s="62">
        <f>'6.Cons Profit &amp; Loss'!G10</f>
        <v>689192.0437500003</v>
      </c>
      <c r="I172" s="62">
        <f>'6.Cons Profit &amp; Loss'!H10</f>
        <v>723651.64593750041</v>
      </c>
    </row>
    <row r="173" spans="2:9">
      <c r="B173" s="60" t="str">
        <f t="shared" si="24"/>
        <v xml:space="preserve">Faclitiy 4 - Custom Hiring </v>
      </c>
      <c r="C173" s="62">
        <f>'6.Cons Profit &amp; Loss'!B11</f>
        <v>0</v>
      </c>
      <c r="D173" s="62">
        <f>'6.Cons Profit &amp; Loss'!C11</f>
        <v>0</v>
      </c>
      <c r="E173" s="62">
        <f>'6.Cons Profit &amp; Loss'!D11</f>
        <v>0</v>
      </c>
      <c r="F173" s="62">
        <f>'6.Cons Profit &amp; Loss'!E11</f>
        <v>0</v>
      </c>
      <c r="G173" s="62">
        <f>'6.Cons Profit &amp; Loss'!F11</f>
        <v>0</v>
      </c>
      <c r="H173" s="62">
        <f>'6.Cons Profit &amp; Loss'!G11</f>
        <v>0</v>
      </c>
      <c r="I173" s="62">
        <f>'6.Cons Profit &amp; Loss'!H11</f>
        <v>0</v>
      </c>
    </row>
    <row r="174" spans="2:9">
      <c r="B174" s="60" t="str">
        <f t="shared" si="24"/>
        <v>Faclitiy 5 - Agri Input Centre</v>
      </c>
      <c r="C174" s="62">
        <f>'6.Cons Profit &amp; Loss'!B12</f>
        <v>0</v>
      </c>
      <c r="D174" s="62">
        <f>'6.Cons Profit &amp; Loss'!C12</f>
        <v>0</v>
      </c>
      <c r="E174" s="62">
        <f>'6.Cons Profit &amp; Loss'!D12</f>
        <v>0</v>
      </c>
      <c r="F174" s="62">
        <f>'6.Cons Profit &amp; Loss'!E12</f>
        <v>0</v>
      </c>
      <c r="G174" s="62">
        <f>'6.Cons Profit &amp; Loss'!F12</f>
        <v>0</v>
      </c>
      <c r="H174" s="62">
        <f>'6.Cons Profit &amp; Loss'!G12</f>
        <v>0</v>
      </c>
      <c r="I174" s="62">
        <f>'6.Cons Profit &amp; Loss'!H12</f>
        <v>0</v>
      </c>
    </row>
    <row r="175" spans="2:9">
      <c r="B175" s="60" t="str">
        <f t="shared" si="24"/>
        <v>Facility 6 - Processing Unit - Horti Commodity</v>
      </c>
      <c r="C175" s="62">
        <f>'6.Cons Profit &amp; Loss'!B13</f>
        <v>0</v>
      </c>
      <c r="D175" s="62">
        <f>'6.Cons Profit &amp; Loss'!C13</f>
        <v>0</v>
      </c>
      <c r="E175" s="62">
        <f>'6.Cons Profit &amp; Loss'!D13</f>
        <v>0</v>
      </c>
      <c r="F175" s="62">
        <f>'6.Cons Profit &amp; Loss'!E13</f>
        <v>0</v>
      </c>
      <c r="G175" s="62">
        <f>'6.Cons Profit &amp; Loss'!F13</f>
        <v>0</v>
      </c>
      <c r="H175" s="62">
        <f>'6.Cons Profit &amp; Loss'!G13</f>
        <v>0</v>
      </c>
      <c r="I175" s="62">
        <f>'6.Cons Profit &amp; Loss'!H13</f>
        <v>0</v>
      </c>
    </row>
    <row r="176" spans="2:9">
      <c r="B176" s="60">
        <f t="shared" si="24"/>
        <v>0</v>
      </c>
      <c r="C176" s="62">
        <f>'6.Cons Profit &amp; Loss'!B14</f>
        <v>0</v>
      </c>
      <c r="D176" s="62">
        <f>'6.Cons Profit &amp; Loss'!C14</f>
        <v>0</v>
      </c>
      <c r="E176" s="62">
        <f>'6.Cons Profit &amp; Loss'!D14</f>
        <v>0</v>
      </c>
      <c r="F176" s="62">
        <f>'6.Cons Profit &amp; Loss'!E14</f>
        <v>0</v>
      </c>
      <c r="G176" s="62">
        <f>'6.Cons Profit &amp; Loss'!F14</f>
        <v>0</v>
      </c>
      <c r="H176" s="62">
        <f>'6.Cons Profit &amp; Loss'!G14</f>
        <v>0</v>
      </c>
      <c r="I176" s="62">
        <f>'6.Cons Profit &amp; Loss'!H14</f>
        <v>0</v>
      </c>
    </row>
    <row r="177" spans="2:13">
      <c r="B177" s="60" t="s">
        <v>355</v>
      </c>
      <c r="C177" s="62">
        <f>SUM(C170:C176)</f>
        <v>100568694.39952001</v>
      </c>
      <c r="D177" s="62">
        <f t="shared" ref="D177:I177" si="25">SUM(D170:D176)</f>
        <v>119043014.13547203</v>
      </c>
      <c r="E177" s="62">
        <f t="shared" si="25"/>
        <v>133951752.16398363</v>
      </c>
      <c r="F177" s="62">
        <f t="shared" si="25"/>
        <v>150053756.46000776</v>
      </c>
      <c r="G177" s="62">
        <f t="shared" si="25"/>
        <v>167431081.80522433</v>
      </c>
      <c r="H177" s="62">
        <f t="shared" si="25"/>
        <v>186132716.84693748</v>
      </c>
      <c r="I177" s="62">
        <f t="shared" si="25"/>
        <v>206285937.68830892</v>
      </c>
    </row>
    <row r="178" spans="2:13">
      <c r="B178" s="60" t="s">
        <v>356</v>
      </c>
      <c r="C178" s="62"/>
      <c r="D178" s="62"/>
      <c r="E178" s="62"/>
      <c r="F178" s="62"/>
      <c r="G178" s="62"/>
      <c r="H178" s="62"/>
      <c r="I178" s="62"/>
    </row>
    <row r="179" spans="2:13">
      <c r="B179" s="60" t="s">
        <v>357</v>
      </c>
      <c r="C179" s="62">
        <f>'6.Cons Profit &amp; Loss'!B36</f>
        <v>3296000</v>
      </c>
      <c r="D179" s="62">
        <f>'6.Cons Profit &amp; Loss'!C36</f>
        <v>3460800</v>
      </c>
      <c r="E179" s="62">
        <f>'6.Cons Profit &amp; Loss'!D36</f>
        <v>3633840</v>
      </c>
      <c r="F179" s="62">
        <f>'6.Cons Profit &amp; Loss'!E36</f>
        <v>3815532.0000000005</v>
      </c>
      <c r="G179" s="62">
        <f>'6.Cons Profit &amp; Loss'!F36</f>
        <v>4006308.6000000006</v>
      </c>
      <c r="H179" s="62">
        <f>'6.Cons Profit &amp; Loss'!G36</f>
        <v>4206624.0300000012</v>
      </c>
      <c r="I179" s="62">
        <f>'6.Cons Profit &amp; Loss'!H36</f>
        <v>4416955.2315000007</v>
      </c>
    </row>
    <row r="180" spans="2:13">
      <c r="B180" s="60" t="s">
        <v>312</v>
      </c>
      <c r="C180" s="62">
        <f>'6.Cons Profit &amp; Loss'!B25*(1-$M$127)</f>
        <v>87464498.519061998</v>
      </c>
      <c r="D180" s="62">
        <f>'6.Cons Profit &amp; Loss'!C25*(1-$M$127)</f>
        <v>103452560.61713584</v>
      </c>
      <c r="E180" s="62">
        <f>'6.Cons Profit &amp; Loss'!D25*(1-$M$127)</f>
        <v>116404433.39832777</v>
      </c>
      <c r="F180" s="62">
        <f>'6.Cons Profit &amp; Loss'!E25*(1-$M$127)</f>
        <v>130392862.05609605</v>
      </c>
      <c r="G180" s="62">
        <f>'6.Cons Profit &amp; Loss'!F25*(1-$M$127)</f>
        <v>145489122.4961454</v>
      </c>
      <c r="H180" s="62">
        <f>'6.Cons Profit &amp; Loss'!G25*(1-$M$127)</f>
        <v>161769026.82505932</v>
      </c>
      <c r="I180" s="62">
        <f>'6.Cons Profit &amp; Loss'!H25*(1-$M$127)</f>
        <v>179313198.78062433</v>
      </c>
    </row>
    <row r="181" spans="2:13">
      <c r="B181" s="60" t="s">
        <v>358</v>
      </c>
      <c r="C181" s="62">
        <f t="shared" ref="C181:I181" si="26">SUM(C179:C180)</f>
        <v>90760498.519061998</v>
      </c>
      <c r="D181" s="62">
        <f t="shared" si="26"/>
        <v>106913360.61713584</v>
      </c>
      <c r="E181" s="62">
        <f t="shared" si="26"/>
        <v>120038273.39832777</v>
      </c>
      <c r="F181" s="62">
        <f t="shared" si="26"/>
        <v>134208394.05609605</v>
      </c>
      <c r="G181" s="62">
        <f t="shared" si="26"/>
        <v>149495431.09614539</v>
      </c>
      <c r="H181" s="62">
        <f t="shared" si="26"/>
        <v>165975650.85505933</v>
      </c>
      <c r="I181" s="62">
        <f t="shared" si="26"/>
        <v>183730154.01212433</v>
      </c>
    </row>
    <row r="182" spans="2:13">
      <c r="B182" s="63" t="s">
        <v>359</v>
      </c>
      <c r="C182" s="288">
        <f t="shared" ref="C182:I182" si="27">+C177-C181</f>
        <v>9808195.8804580122</v>
      </c>
      <c r="D182" s="288">
        <f t="shared" si="27"/>
        <v>12129653.518336192</v>
      </c>
      <c r="E182" s="288">
        <f t="shared" si="27"/>
        <v>13913478.76565586</v>
      </c>
      <c r="F182" s="288">
        <f t="shared" si="27"/>
        <v>15845362.40391171</v>
      </c>
      <c r="G182" s="288">
        <f t="shared" si="27"/>
        <v>17935650.709078938</v>
      </c>
      <c r="H182" s="288">
        <f t="shared" si="27"/>
        <v>20157065.991878152</v>
      </c>
      <c r="I182" s="288">
        <f t="shared" si="27"/>
        <v>22555783.676184595</v>
      </c>
    </row>
    <row r="184" spans="2:13" ht="41.1" customHeight="1">
      <c r="B184" s="398" t="s">
        <v>550</v>
      </c>
      <c r="C184" s="398"/>
      <c r="D184" s="398"/>
      <c r="E184" s="398"/>
      <c r="F184" s="398"/>
      <c r="G184" s="398"/>
      <c r="H184" s="398"/>
      <c r="I184" s="398"/>
      <c r="J184" s="295"/>
      <c r="K184" s="295"/>
      <c r="L184" s="295"/>
      <c r="M184" s="295"/>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71"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64" zoomScale="82" zoomScaleSheetLayoutView="82" workbookViewId="0">
      <selection activeCell="F25" sqref="F25"/>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2" t="s">
        <v>608</v>
      </c>
      <c r="B1" s="362"/>
      <c r="C1" s="362"/>
      <c r="D1" s="362"/>
      <c r="E1" s="362"/>
      <c r="F1" s="362"/>
      <c r="G1" s="362"/>
      <c r="H1" s="362"/>
    </row>
    <row r="2" spans="1:26">
      <c r="B2" s="4"/>
    </row>
    <row r="3" spans="1:26" ht="18.75">
      <c r="A3" s="410" t="s">
        <v>579</v>
      </c>
      <c r="B3" s="410"/>
    </row>
    <row r="4" spans="1:26">
      <c r="A4" s="257" t="s">
        <v>0</v>
      </c>
      <c r="B4" s="268" t="s">
        <v>396</v>
      </c>
      <c r="C4" s="269"/>
      <c r="D4" s="269"/>
      <c r="E4" s="269"/>
      <c r="F4" s="269"/>
      <c r="G4" s="269"/>
      <c r="H4" s="269"/>
    </row>
    <row r="5" spans="1:26">
      <c r="A5" s="9" t="s">
        <v>506</v>
      </c>
      <c r="B5" s="253">
        <v>762</v>
      </c>
      <c r="D5" s="270"/>
      <c r="E5" s="270"/>
      <c r="F5" s="270"/>
      <c r="G5" s="270"/>
      <c r="H5" s="270"/>
    </row>
    <row r="6" spans="1:26">
      <c r="A6" s="9" t="s">
        <v>507</v>
      </c>
      <c r="B6" s="253">
        <v>700</v>
      </c>
      <c r="D6" s="270"/>
      <c r="E6" s="270"/>
      <c r="F6" s="270"/>
      <c r="G6" s="270"/>
      <c r="H6" s="270"/>
    </row>
    <row r="7" spans="1:26">
      <c r="A7" s="2" t="s">
        <v>1</v>
      </c>
      <c r="B7" s="2">
        <f>B5+B6</f>
        <v>1462</v>
      </c>
      <c r="C7" s="5"/>
      <c r="D7" s="271"/>
      <c r="E7" s="271"/>
      <c r="F7" s="271"/>
      <c r="G7" s="271"/>
      <c r="H7" s="271"/>
    </row>
    <row r="8" spans="1:26">
      <c r="A8" s="2" t="s">
        <v>508</v>
      </c>
      <c r="B8" s="285">
        <v>5</v>
      </c>
      <c r="C8" s="5"/>
      <c r="D8" s="5"/>
      <c r="E8" s="5"/>
      <c r="F8" s="5"/>
      <c r="G8" s="5"/>
      <c r="H8" s="5"/>
    </row>
    <row r="9" spans="1:26">
      <c r="A9" s="2" t="s">
        <v>513</v>
      </c>
      <c r="B9" s="2">
        <f>B7*B8</f>
        <v>7310</v>
      </c>
      <c r="C9" s="271"/>
      <c r="D9" s="271"/>
      <c r="E9" s="271"/>
      <c r="F9" s="271"/>
      <c r="G9" s="271"/>
      <c r="H9" s="271"/>
    </row>
    <row r="10" spans="1:26">
      <c r="J10" t="s">
        <v>462</v>
      </c>
      <c r="O10" t="s">
        <v>458</v>
      </c>
      <c r="U10" t="s">
        <v>459</v>
      </c>
      <c r="Y10" t="s">
        <v>460</v>
      </c>
      <c r="Z10" t="s">
        <v>461</v>
      </c>
    </row>
    <row r="11" spans="1:26" ht="18.75">
      <c r="A11" s="362" t="s">
        <v>580</v>
      </c>
      <c r="B11" s="362"/>
      <c r="C11" s="362"/>
      <c r="D11" s="362"/>
      <c r="E11" s="362"/>
      <c r="F11" s="362"/>
      <c r="G11" s="362"/>
      <c r="H11" s="362"/>
      <c r="I11" s="5"/>
      <c r="J11" s="5"/>
      <c r="K11" s="5"/>
      <c r="L11" s="5"/>
      <c r="M11" s="5"/>
      <c r="N11" s="5"/>
      <c r="O11" s="5"/>
      <c r="P11" s="5"/>
    </row>
    <row r="12" spans="1:26">
      <c r="J12" s="3">
        <v>0.65</v>
      </c>
      <c r="K12" s="266">
        <f>J12+0.05</f>
        <v>0.70000000000000007</v>
      </c>
      <c r="L12" s="266">
        <f t="shared" ref="L12:N12" si="0">K12+0.05</f>
        <v>0.75000000000000011</v>
      </c>
      <c r="M12" s="266">
        <f t="shared" si="0"/>
        <v>0.80000000000000016</v>
      </c>
      <c r="N12" s="26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7" t="s">
        <v>400</v>
      </c>
      <c r="B13" s="257" t="s">
        <v>401</v>
      </c>
      <c r="C13" s="258" t="s">
        <v>455</v>
      </c>
      <c r="D13" s="258" t="s">
        <v>463</v>
      </c>
      <c r="E13" s="258" t="s">
        <v>464</v>
      </c>
      <c r="F13" s="258" t="s">
        <v>402</v>
      </c>
      <c r="G13" s="258" t="s">
        <v>652</v>
      </c>
      <c r="H13" s="258" t="s">
        <v>403</v>
      </c>
      <c r="O13" s="265" t="s">
        <v>2</v>
      </c>
      <c r="P13" s="265" t="s">
        <v>3</v>
      </c>
      <c r="Q13" s="265" t="s">
        <v>4</v>
      </c>
      <c r="R13" s="265" t="s">
        <v>5</v>
      </c>
      <c r="S13" s="265" t="s">
        <v>6</v>
      </c>
      <c r="T13" s="265" t="s">
        <v>2</v>
      </c>
      <c r="U13" s="265" t="s">
        <v>3</v>
      </c>
      <c r="V13" s="265" t="s">
        <v>4</v>
      </c>
      <c r="W13" s="265" t="s">
        <v>5</v>
      </c>
      <c r="X13" s="265" t="s">
        <v>6</v>
      </c>
    </row>
    <row r="14" spans="1:26">
      <c r="A14" s="414" t="s">
        <v>404</v>
      </c>
      <c r="B14" s="253" t="s">
        <v>167</v>
      </c>
      <c r="C14" s="263">
        <v>0</v>
      </c>
      <c r="D14" s="9">
        <f t="shared" ref="D14:D22" si="3">$B$9*C14</f>
        <v>0</v>
      </c>
      <c r="E14" s="254">
        <v>10</v>
      </c>
      <c r="F14" s="9">
        <f>D14*E14</f>
        <v>0</v>
      </c>
      <c r="G14" s="264">
        <v>0.05</v>
      </c>
      <c r="H14" s="9">
        <f>(F14-F14*G14)</f>
        <v>0</v>
      </c>
      <c r="J14">
        <f>$D$14*J12</f>
        <v>0</v>
      </c>
      <c r="K14">
        <f>$D$14*K12</f>
        <v>0</v>
      </c>
      <c r="L14">
        <f>$D$14*L12</f>
        <v>0</v>
      </c>
      <c r="M14">
        <f>$D$14*M12</f>
        <v>0</v>
      </c>
      <c r="N14">
        <f>$D$14*N12</f>
        <v>0</v>
      </c>
    </row>
    <row r="15" spans="1:26">
      <c r="A15" s="415"/>
      <c r="B15" s="253" t="s">
        <v>486</v>
      </c>
      <c r="C15" s="263">
        <v>0.15</v>
      </c>
      <c r="D15" s="9">
        <f t="shared" si="3"/>
        <v>1096.5</v>
      </c>
      <c r="E15" s="254">
        <v>7</v>
      </c>
      <c r="F15" s="9">
        <f t="shared" ref="F15:F36" si="4">D15*E15</f>
        <v>7675.5</v>
      </c>
      <c r="G15" s="264">
        <v>0.05</v>
      </c>
      <c r="H15" s="9">
        <f>(F15-F15*G15)</f>
        <v>7291.7250000000004</v>
      </c>
    </row>
    <row r="16" spans="1:26">
      <c r="A16" s="415"/>
      <c r="B16" s="253" t="s">
        <v>485</v>
      </c>
      <c r="C16" s="263">
        <v>0</v>
      </c>
      <c r="D16" s="9">
        <f t="shared" si="3"/>
        <v>0</v>
      </c>
      <c r="E16" s="254">
        <v>4</v>
      </c>
      <c r="F16" s="9">
        <f t="shared" si="4"/>
        <v>0</v>
      </c>
      <c r="G16" s="264">
        <v>0</v>
      </c>
      <c r="H16" s="9">
        <f t="shared" ref="H16:H36" si="5">(F16-F16*G16)</f>
        <v>0</v>
      </c>
    </row>
    <row r="17" spans="1:8">
      <c r="A17" s="415"/>
      <c r="B17" s="253" t="s">
        <v>483</v>
      </c>
      <c r="C17" s="263">
        <v>0.2</v>
      </c>
      <c r="D17" s="9">
        <f t="shared" si="3"/>
        <v>1462</v>
      </c>
      <c r="E17" s="254">
        <v>7</v>
      </c>
      <c r="F17" s="9">
        <f t="shared" si="4"/>
        <v>10234</v>
      </c>
      <c r="G17" s="264">
        <v>0.02</v>
      </c>
      <c r="H17" s="9">
        <f t="shared" si="5"/>
        <v>10029.32</v>
      </c>
    </row>
    <row r="18" spans="1:8">
      <c r="A18" s="415"/>
      <c r="B18" s="253" t="s">
        <v>405</v>
      </c>
      <c r="C18" s="263">
        <v>0</v>
      </c>
      <c r="D18" s="9">
        <f t="shared" si="3"/>
        <v>0</v>
      </c>
      <c r="E18" s="254">
        <v>20</v>
      </c>
      <c r="F18" s="9">
        <f t="shared" si="4"/>
        <v>0</v>
      </c>
      <c r="G18" s="264">
        <v>0</v>
      </c>
      <c r="H18" s="9">
        <f t="shared" si="5"/>
        <v>0</v>
      </c>
    </row>
    <row r="19" spans="1:8">
      <c r="A19" s="415"/>
      <c r="B19" s="253" t="s">
        <v>484</v>
      </c>
      <c r="C19" s="263">
        <v>0.2</v>
      </c>
      <c r="D19" s="9">
        <f t="shared" si="3"/>
        <v>1462</v>
      </c>
      <c r="E19" s="254">
        <v>7</v>
      </c>
      <c r="F19" s="9">
        <f t="shared" si="4"/>
        <v>10234</v>
      </c>
      <c r="G19" s="264">
        <v>0.1</v>
      </c>
      <c r="H19" s="9">
        <f t="shared" si="5"/>
        <v>9210.6</v>
      </c>
    </row>
    <row r="20" spans="1:8">
      <c r="A20" s="415"/>
      <c r="B20" s="253" t="s">
        <v>477</v>
      </c>
      <c r="C20" s="263">
        <v>0</v>
      </c>
      <c r="D20" s="9">
        <f t="shared" si="3"/>
        <v>0</v>
      </c>
      <c r="E20" s="254">
        <v>6</v>
      </c>
      <c r="F20" s="9">
        <f t="shared" si="4"/>
        <v>0</v>
      </c>
      <c r="G20" s="264">
        <v>0.02</v>
      </c>
      <c r="H20" s="9">
        <f t="shared" si="5"/>
        <v>0</v>
      </c>
    </row>
    <row r="21" spans="1:8">
      <c r="A21" s="415"/>
      <c r="B21" s="253" t="s">
        <v>409</v>
      </c>
      <c r="C21" s="263">
        <v>0</v>
      </c>
      <c r="D21" s="9">
        <f t="shared" si="3"/>
        <v>0</v>
      </c>
      <c r="E21" s="254"/>
      <c r="F21" s="9">
        <f t="shared" si="4"/>
        <v>0</v>
      </c>
      <c r="G21" s="264">
        <v>0</v>
      </c>
      <c r="H21" s="9">
        <f t="shared" si="5"/>
        <v>0</v>
      </c>
    </row>
    <row r="22" spans="1:8">
      <c r="A22" s="416"/>
      <c r="B22" s="253" t="s">
        <v>487</v>
      </c>
      <c r="C22" s="263">
        <v>0</v>
      </c>
      <c r="D22" s="9">
        <f t="shared" si="3"/>
        <v>0</v>
      </c>
      <c r="E22" s="254"/>
      <c r="F22" s="9">
        <f t="shared" si="4"/>
        <v>0</v>
      </c>
      <c r="G22" s="264">
        <v>0</v>
      </c>
      <c r="H22" s="9">
        <f t="shared" si="5"/>
        <v>0</v>
      </c>
    </row>
    <row r="23" spans="1:8">
      <c r="A23" s="273" t="s">
        <v>491</v>
      </c>
      <c r="B23" s="278">
        <v>0.4</v>
      </c>
      <c r="C23" s="280">
        <f>B9*B23</f>
        <v>2924</v>
      </c>
      <c r="D23" s="9"/>
      <c r="E23" s="254"/>
      <c r="F23" s="9"/>
      <c r="G23" s="264"/>
      <c r="H23" s="9"/>
    </row>
    <row r="24" spans="1:8">
      <c r="A24" s="414" t="s">
        <v>406</v>
      </c>
      <c r="B24" s="253" t="s">
        <v>407</v>
      </c>
      <c r="C24" s="263">
        <v>0</v>
      </c>
      <c r="D24" s="9">
        <f>C$23*C24</f>
        <v>0</v>
      </c>
      <c r="E24" s="254">
        <v>10</v>
      </c>
      <c r="F24" s="9">
        <f t="shared" si="4"/>
        <v>0</v>
      </c>
      <c r="G24" s="264">
        <v>0.1</v>
      </c>
      <c r="H24" s="9">
        <f t="shared" si="5"/>
        <v>0</v>
      </c>
    </row>
    <row r="25" spans="1:8">
      <c r="A25" s="415"/>
      <c r="B25" s="253" t="s">
        <v>408</v>
      </c>
      <c r="C25" s="263">
        <v>0.5</v>
      </c>
      <c r="D25" s="9">
        <f>C$23*C25</f>
        <v>1462</v>
      </c>
      <c r="E25" s="254">
        <v>10</v>
      </c>
      <c r="F25" s="9">
        <f t="shared" si="4"/>
        <v>14620</v>
      </c>
      <c r="G25" s="264">
        <v>0.05</v>
      </c>
      <c r="H25" s="9">
        <f t="shared" si="5"/>
        <v>13889</v>
      </c>
    </row>
    <row r="26" spans="1:8">
      <c r="A26" s="415"/>
      <c r="B26" s="253" t="s">
        <v>409</v>
      </c>
      <c r="C26" s="263">
        <v>0</v>
      </c>
      <c r="D26" s="9">
        <f>C$23*C26</f>
        <v>0</v>
      </c>
      <c r="E26" s="254">
        <v>10</v>
      </c>
      <c r="F26" s="9">
        <f t="shared" si="4"/>
        <v>0</v>
      </c>
      <c r="G26" s="264">
        <v>0.05</v>
      </c>
      <c r="H26" s="9">
        <f t="shared" si="5"/>
        <v>0</v>
      </c>
    </row>
    <row r="27" spans="1:8">
      <c r="A27" s="415"/>
      <c r="B27" s="253" t="s">
        <v>405</v>
      </c>
      <c r="C27" s="263">
        <v>0</v>
      </c>
      <c r="D27" s="9">
        <f t="shared" ref="D27:D31" si="6">C$23*C27</f>
        <v>0</v>
      </c>
      <c r="E27" s="254">
        <v>20</v>
      </c>
      <c r="F27" s="9">
        <f t="shared" si="4"/>
        <v>0</v>
      </c>
      <c r="G27" s="264">
        <v>0</v>
      </c>
      <c r="H27" s="9">
        <f t="shared" si="5"/>
        <v>0</v>
      </c>
    </row>
    <row r="28" spans="1:8">
      <c r="A28" s="415"/>
      <c r="B28" s="253" t="s">
        <v>488</v>
      </c>
      <c r="C28" s="263">
        <v>0</v>
      </c>
      <c r="D28" s="9">
        <f t="shared" si="6"/>
        <v>0</v>
      </c>
      <c r="E28" s="254"/>
      <c r="F28" s="9">
        <f t="shared" si="4"/>
        <v>0</v>
      </c>
      <c r="G28" s="264">
        <v>0</v>
      </c>
      <c r="H28" s="9">
        <f t="shared" si="5"/>
        <v>0</v>
      </c>
    </row>
    <row r="29" spans="1:8">
      <c r="A29" s="415"/>
      <c r="B29" s="253"/>
      <c r="C29" s="263">
        <v>0</v>
      </c>
      <c r="D29" s="9">
        <f t="shared" si="6"/>
        <v>0</v>
      </c>
      <c r="E29" s="254"/>
      <c r="F29" s="9">
        <f t="shared" si="4"/>
        <v>0</v>
      </c>
      <c r="G29" s="264">
        <v>0</v>
      </c>
      <c r="H29" s="9">
        <f t="shared" si="5"/>
        <v>0</v>
      </c>
    </row>
    <row r="30" spans="1:8">
      <c r="A30" s="415"/>
      <c r="B30" s="253"/>
      <c r="C30" s="263">
        <v>0</v>
      </c>
      <c r="D30" s="9">
        <f t="shared" si="6"/>
        <v>0</v>
      </c>
      <c r="E30" s="254"/>
      <c r="F30" s="9">
        <f t="shared" si="4"/>
        <v>0</v>
      </c>
      <c r="G30" s="264">
        <v>0</v>
      </c>
      <c r="H30" s="9">
        <f t="shared" si="5"/>
        <v>0</v>
      </c>
    </row>
    <row r="31" spans="1:8">
      <c r="A31" s="416"/>
      <c r="B31" s="253"/>
      <c r="C31" s="263">
        <v>0</v>
      </c>
      <c r="D31" s="9">
        <f t="shared" si="6"/>
        <v>0</v>
      </c>
      <c r="E31" s="254"/>
      <c r="F31" s="9">
        <f t="shared" si="4"/>
        <v>0</v>
      </c>
      <c r="G31" s="264">
        <v>0</v>
      </c>
      <c r="H31" s="9">
        <f t="shared" si="5"/>
        <v>0</v>
      </c>
    </row>
    <row r="32" spans="1:8">
      <c r="A32" s="273" t="s">
        <v>490</v>
      </c>
      <c r="B32" s="278">
        <v>0.05</v>
      </c>
      <c r="C32" s="9">
        <f>B9*B32</f>
        <v>365.5</v>
      </c>
      <c r="D32" s="9"/>
      <c r="E32" s="254"/>
      <c r="F32" s="9"/>
      <c r="G32" s="264"/>
      <c r="H32" s="9"/>
    </row>
    <row r="33" spans="1:8">
      <c r="A33" s="281" t="s">
        <v>468</v>
      </c>
      <c r="B33" s="253" t="s">
        <v>489</v>
      </c>
      <c r="C33" s="263">
        <v>0</v>
      </c>
      <c r="D33" s="9">
        <f>C$32*C33</f>
        <v>0</v>
      </c>
      <c r="E33" s="254"/>
      <c r="F33" s="9">
        <f t="shared" si="4"/>
        <v>0</v>
      </c>
      <c r="G33" s="264">
        <v>0</v>
      </c>
      <c r="H33" s="9">
        <f t="shared" si="5"/>
        <v>0</v>
      </c>
    </row>
    <row r="34" spans="1:8">
      <c r="A34" s="282"/>
      <c r="B34" s="253"/>
      <c r="C34" s="263">
        <v>0</v>
      </c>
      <c r="D34" s="9">
        <f>C$32*C34</f>
        <v>0</v>
      </c>
      <c r="E34" s="254"/>
      <c r="F34" s="9">
        <f t="shared" si="4"/>
        <v>0</v>
      </c>
      <c r="G34" s="264">
        <v>0</v>
      </c>
      <c r="H34" s="9">
        <f t="shared" si="5"/>
        <v>0</v>
      </c>
    </row>
    <row r="35" spans="1:8">
      <c r="A35" s="282"/>
      <c r="B35" s="253"/>
      <c r="C35" s="263">
        <v>0</v>
      </c>
      <c r="D35" s="9">
        <f>C$32*C35</f>
        <v>0</v>
      </c>
      <c r="E35" s="254"/>
      <c r="F35" s="9">
        <f t="shared" si="4"/>
        <v>0</v>
      </c>
      <c r="G35" s="264">
        <v>0</v>
      </c>
      <c r="H35" s="9">
        <f t="shared" si="5"/>
        <v>0</v>
      </c>
    </row>
    <row r="36" spans="1:8">
      <c r="A36" s="283"/>
      <c r="B36" s="253"/>
      <c r="C36" s="263">
        <v>0</v>
      </c>
      <c r="D36" s="9">
        <f>C$32*C36</f>
        <v>0</v>
      </c>
      <c r="E36" s="254"/>
      <c r="F36" s="9">
        <f t="shared" si="4"/>
        <v>0</v>
      </c>
      <c r="G36" s="264">
        <v>0</v>
      </c>
      <c r="H36" s="9">
        <f t="shared" si="5"/>
        <v>0</v>
      </c>
    </row>
    <row r="37" spans="1:8">
      <c r="A37" s="413" t="s">
        <v>410</v>
      </c>
      <c r="B37" s="413"/>
      <c r="C37" s="413"/>
      <c r="D37" s="413"/>
      <c r="E37" s="413"/>
      <c r="F37" s="413"/>
      <c r="G37" s="413"/>
      <c r="H37" s="413"/>
    </row>
    <row r="39" spans="1:8" ht="18.75">
      <c r="A39" s="417" t="s">
        <v>581</v>
      </c>
      <c r="B39" s="418"/>
      <c r="C39" s="418"/>
      <c r="D39" s="418"/>
      <c r="E39" s="418"/>
      <c r="F39" s="418"/>
      <c r="G39" s="418"/>
      <c r="H39" s="419"/>
    </row>
    <row r="40" spans="1:8">
      <c r="A40" s="420" t="s">
        <v>0</v>
      </c>
      <c r="B40" s="274">
        <v>1E-8</v>
      </c>
      <c r="C40" s="274">
        <v>1E-8</v>
      </c>
      <c r="D40" s="274">
        <v>1E-8</v>
      </c>
      <c r="E40" s="274">
        <v>1E-8</v>
      </c>
      <c r="F40" s="274">
        <v>1E-8</v>
      </c>
      <c r="G40" s="274">
        <v>1E-8</v>
      </c>
      <c r="H40" s="274">
        <v>1E-8</v>
      </c>
    </row>
    <row r="41" spans="1:8">
      <c r="A41" s="421"/>
      <c r="B41" s="268" t="s">
        <v>2</v>
      </c>
      <c r="C41" s="268" t="s">
        <v>3</v>
      </c>
      <c r="D41" s="268" t="s">
        <v>4</v>
      </c>
      <c r="E41" s="268" t="s">
        <v>5</v>
      </c>
      <c r="F41" s="268" t="s">
        <v>6</v>
      </c>
      <c r="G41" s="268" t="s">
        <v>169</v>
      </c>
      <c r="H41" s="268" t="s">
        <v>168</v>
      </c>
    </row>
    <row r="42" spans="1:8">
      <c r="A42" s="9" t="str">
        <f t="shared" ref="A42:A50" si="7">B14</f>
        <v>Soybean</v>
      </c>
      <c r="B42" s="9">
        <f t="shared" ref="B42:B50" si="8">H14*$B$40</f>
        <v>0</v>
      </c>
      <c r="C42" s="9">
        <f t="shared" ref="C42:H51" si="9">(B42/B$40)*C$40</f>
        <v>0</v>
      </c>
      <c r="D42" s="9">
        <f t="shared" si="9"/>
        <v>0</v>
      </c>
      <c r="E42" s="9">
        <f t="shared" si="9"/>
        <v>0</v>
      </c>
      <c r="F42" s="9">
        <f t="shared" si="9"/>
        <v>0</v>
      </c>
      <c r="G42" s="9">
        <f t="shared" si="9"/>
        <v>0</v>
      </c>
      <c r="H42" s="9">
        <f t="shared" si="9"/>
        <v>0</v>
      </c>
    </row>
    <row r="43" spans="1:8">
      <c r="A43" s="9" t="str">
        <f t="shared" si="7"/>
        <v>Red Gram/Tur</v>
      </c>
      <c r="B43" s="341">
        <f t="shared" si="8"/>
        <v>7.2917250000000011E-5</v>
      </c>
      <c r="C43" s="341">
        <f t="shared" si="9"/>
        <v>7.2917250000000011E-5</v>
      </c>
      <c r="D43" s="341">
        <f t="shared" si="9"/>
        <v>7.2917250000000011E-5</v>
      </c>
      <c r="E43" s="341">
        <f t="shared" si="9"/>
        <v>7.2917250000000011E-5</v>
      </c>
      <c r="F43" s="341">
        <f t="shared" si="9"/>
        <v>7.2917250000000011E-5</v>
      </c>
      <c r="G43" s="341">
        <f t="shared" si="9"/>
        <v>7.2917250000000011E-5</v>
      </c>
      <c r="H43" s="341">
        <f t="shared" si="9"/>
        <v>7.2917250000000011E-5</v>
      </c>
    </row>
    <row r="44" spans="1:8">
      <c r="A44" s="9" t="str">
        <f t="shared" si="7"/>
        <v>Paddy/Rice</v>
      </c>
      <c r="B44" s="341">
        <f t="shared" si="8"/>
        <v>0</v>
      </c>
      <c r="C44" s="341">
        <f t="shared" si="9"/>
        <v>0</v>
      </c>
      <c r="D44" s="341">
        <f t="shared" si="9"/>
        <v>0</v>
      </c>
      <c r="E44" s="341">
        <f t="shared" si="9"/>
        <v>0</v>
      </c>
      <c r="F44" s="341">
        <f t="shared" si="9"/>
        <v>0</v>
      </c>
      <c r="G44" s="341">
        <f t="shared" si="9"/>
        <v>0</v>
      </c>
      <c r="H44" s="341">
        <f t="shared" si="9"/>
        <v>0</v>
      </c>
    </row>
    <row r="45" spans="1:8">
      <c r="A45" s="9" t="str">
        <f t="shared" si="7"/>
        <v>Green Gram/ Moong</v>
      </c>
      <c r="B45" s="341">
        <f t="shared" si="8"/>
        <v>1.002932E-4</v>
      </c>
      <c r="C45" s="341">
        <f t="shared" si="9"/>
        <v>1.002932E-4</v>
      </c>
      <c r="D45" s="341">
        <f t="shared" si="9"/>
        <v>1.002932E-4</v>
      </c>
      <c r="E45" s="341">
        <f t="shared" si="9"/>
        <v>1.002932E-4</v>
      </c>
      <c r="F45" s="341">
        <f t="shared" si="9"/>
        <v>1.002932E-4</v>
      </c>
      <c r="G45" s="341">
        <f t="shared" si="9"/>
        <v>1.002932E-4</v>
      </c>
      <c r="H45" s="341">
        <f t="shared" si="9"/>
        <v>1.002932E-4</v>
      </c>
    </row>
    <row r="46" spans="1:8">
      <c r="A46" s="9" t="str">
        <f t="shared" si="7"/>
        <v>Maize</v>
      </c>
      <c r="B46" s="341">
        <f t="shared" si="8"/>
        <v>0</v>
      </c>
      <c r="C46" s="341">
        <f t="shared" si="9"/>
        <v>0</v>
      </c>
      <c r="D46" s="341">
        <f t="shared" si="9"/>
        <v>0</v>
      </c>
      <c r="E46" s="341">
        <f t="shared" si="9"/>
        <v>0</v>
      </c>
      <c r="F46" s="341">
        <f t="shared" si="9"/>
        <v>0</v>
      </c>
      <c r="G46" s="341">
        <f t="shared" si="9"/>
        <v>0</v>
      </c>
      <c r="H46" s="341">
        <f t="shared" si="9"/>
        <v>0</v>
      </c>
    </row>
    <row r="47" spans="1:8">
      <c r="A47" s="9" t="str">
        <f t="shared" si="7"/>
        <v>Black Gram/Udid</v>
      </c>
      <c r="B47" s="341">
        <f t="shared" si="8"/>
        <v>9.2106000000000002E-5</v>
      </c>
      <c r="C47" s="341">
        <f t="shared" si="9"/>
        <v>9.2106000000000002E-5</v>
      </c>
      <c r="D47" s="341">
        <f t="shared" si="9"/>
        <v>9.2106000000000002E-5</v>
      </c>
      <c r="E47" s="341">
        <f t="shared" si="9"/>
        <v>9.2106000000000002E-5</v>
      </c>
      <c r="F47" s="341">
        <f t="shared" si="9"/>
        <v>9.2106000000000002E-5</v>
      </c>
      <c r="G47" s="341">
        <f t="shared" si="9"/>
        <v>9.2106000000000002E-5</v>
      </c>
      <c r="H47" s="341">
        <f t="shared" si="9"/>
        <v>9.2106000000000002E-5</v>
      </c>
    </row>
    <row r="48" spans="1:8">
      <c r="A48" s="9" t="str">
        <f t="shared" si="7"/>
        <v>Bajra</v>
      </c>
      <c r="B48" s="341">
        <f t="shared" si="8"/>
        <v>0</v>
      </c>
      <c r="C48" s="341">
        <f t="shared" si="9"/>
        <v>0</v>
      </c>
      <c r="D48" s="341">
        <f t="shared" si="9"/>
        <v>0</v>
      </c>
      <c r="E48" s="341">
        <f t="shared" si="9"/>
        <v>0</v>
      </c>
      <c r="F48" s="341">
        <f t="shared" si="9"/>
        <v>0</v>
      </c>
      <c r="G48" s="341">
        <f t="shared" si="9"/>
        <v>0</v>
      </c>
      <c r="H48" s="341">
        <f t="shared" si="9"/>
        <v>0</v>
      </c>
    </row>
    <row r="49" spans="1:8">
      <c r="A49" s="9" t="str">
        <f t="shared" si="7"/>
        <v>Jawar</v>
      </c>
      <c r="B49" s="341">
        <f t="shared" si="8"/>
        <v>0</v>
      </c>
      <c r="C49" s="341">
        <f t="shared" si="9"/>
        <v>0</v>
      </c>
      <c r="D49" s="341">
        <f t="shared" si="9"/>
        <v>0</v>
      </c>
      <c r="E49" s="341">
        <f t="shared" si="9"/>
        <v>0</v>
      </c>
      <c r="F49" s="341">
        <f t="shared" si="9"/>
        <v>0</v>
      </c>
      <c r="G49" s="341">
        <f t="shared" si="9"/>
        <v>0</v>
      </c>
      <c r="H49" s="341">
        <f t="shared" si="9"/>
        <v>0</v>
      </c>
    </row>
    <row r="50" spans="1:8">
      <c r="A50" s="9" t="str">
        <f t="shared" si="7"/>
        <v>Sunflower</v>
      </c>
      <c r="B50" s="341">
        <f t="shared" si="8"/>
        <v>0</v>
      </c>
      <c r="C50" s="341">
        <f t="shared" si="9"/>
        <v>0</v>
      </c>
      <c r="D50" s="341">
        <f t="shared" si="9"/>
        <v>0</v>
      </c>
      <c r="E50" s="341">
        <f t="shared" si="9"/>
        <v>0</v>
      </c>
      <c r="F50" s="341">
        <f t="shared" si="9"/>
        <v>0</v>
      </c>
      <c r="G50" s="341">
        <f t="shared" si="9"/>
        <v>0</v>
      </c>
      <c r="H50" s="341">
        <f t="shared" si="9"/>
        <v>0</v>
      </c>
    </row>
    <row r="51" spans="1:8">
      <c r="A51" s="9" t="str">
        <f t="shared" ref="A51:A58" si="10">B24</f>
        <v>Wheat</v>
      </c>
      <c r="B51" s="341">
        <f t="shared" ref="B51:B58" si="11">H24*$B$40</f>
        <v>0</v>
      </c>
      <c r="C51" s="341">
        <f t="shared" si="9"/>
        <v>0</v>
      </c>
      <c r="D51" s="341">
        <f t="shared" si="9"/>
        <v>0</v>
      </c>
      <c r="E51" s="341">
        <f t="shared" si="9"/>
        <v>0</v>
      </c>
      <c r="F51" s="341">
        <f t="shared" si="9"/>
        <v>0</v>
      </c>
      <c r="G51" s="341">
        <f t="shared" si="9"/>
        <v>0</v>
      </c>
      <c r="H51" s="341">
        <f t="shared" si="9"/>
        <v>0</v>
      </c>
    </row>
    <row r="52" spans="1:8">
      <c r="A52" s="9" t="str">
        <f t="shared" si="10"/>
        <v>Bengal Gram/Channa</v>
      </c>
      <c r="B52" s="341">
        <f t="shared" si="11"/>
        <v>1.3888999999999999E-4</v>
      </c>
      <c r="C52" s="341">
        <f t="shared" ref="C52:H61" si="12">(B52/B$40)*C$40</f>
        <v>1.3888999999999999E-4</v>
      </c>
      <c r="D52" s="341">
        <f t="shared" si="12"/>
        <v>1.3888999999999999E-4</v>
      </c>
      <c r="E52" s="341">
        <f t="shared" si="12"/>
        <v>1.3888999999999999E-4</v>
      </c>
      <c r="F52" s="341">
        <f t="shared" si="12"/>
        <v>1.3888999999999999E-4</v>
      </c>
      <c r="G52" s="341">
        <f t="shared" si="12"/>
        <v>1.3888999999999999E-4</v>
      </c>
      <c r="H52" s="341">
        <f t="shared" si="12"/>
        <v>1.3888999999999999E-4</v>
      </c>
    </row>
    <row r="53" spans="1:8">
      <c r="A53" s="9" t="str">
        <f t="shared" si="10"/>
        <v>Jawar</v>
      </c>
      <c r="B53" s="341">
        <f t="shared" si="11"/>
        <v>0</v>
      </c>
      <c r="C53" s="341">
        <f t="shared" si="12"/>
        <v>0</v>
      </c>
      <c r="D53" s="341">
        <f t="shared" si="12"/>
        <v>0</v>
      </c>
      <c r="E53" s="341">
        <f t="shared" si="12"/>
        <v>0</v>
      </c>
      <c r="F53" s="341">
        <f t="shared" si="12"/>
        <v>0</v>
      </c>
      <c r="G53" s="341">
        <f t="shared" si="12"/>
        <v>0</v>
      </c>
      <c r="H53" s="341">
        <f t="shared" si="12"/>
        <v>0</v>
      </c>
    </row>
    <row r="54" spans="1:8">
      <c r="A54" s="9" t="str">
        <f t="shared" si="10"/>
        <v>Maize</v>
      </c>
      <c r="B54" s="9">
        <f t="shared" si="11"/>
        <v>0</v>
      </c>
      <c r="C54" s="9">
        <f t="shared" si="12"/>
        <v>0</v>
      </c>
      <c r="D54" s="9">
        <f t="shared" si="12"/>
        <v>0</v>
      </c>
      <c r="E54" s="9">
        <f t="shared" si="12"/>
        <v>0</v>
      </c>
      <c r="F54" s="9">
        <f t="shared" si="12"/>
        <v>0</v>
      </c>
      <c r="G54" s="9">
        <f t="shared" si="12"/>
        <v>0</v>
      </c>
      <c r="H54" s="9">
        <f t="shared" si="12"/>
        <v>0</v>
      </c>
    </row>
    <row r="55" spans="1:8">
      <c r="A55" s="9" t="str">
        <f t="shared" si="10"/>
        <v>Safflower</v>
      </c>
      <c r="B55" s="9">
        <f t="shared" si="11"/>
        <v>0</v>
      </c>
      <c r="C55" s="9">
        <f t="shared" si="12"/>
        <v>0</v>
      </c>
      <c r="D55" s="9">
        <f t="shared" si="12"/>
        <v>0</v>
      </c>
      <c r="E55" s="9">
        <f t="shared" si="12"/>
        <v>0</v>
      </c>
      <c r="F55" s="9">
        <f t="shared" si="12"/>
        <v>0</v>
      </c>
      <c r="G55" s="9">
        <f t="shared" si="12"/>
        <v>0</v>
      </c>
      <c r="H55" s="9">
        <f t="shared" si="12"/>
        <v>0</v>
      </c>
    </row>
    <row r="56" spans="1:8">
      <c r="A56" s="9">
        <f t="shared" si="10"/>
        <v>0</v>
      </c>
      <c r="B56" s="9">
        <f t="shared" si="11"/>
        <v>0</v>
      </c>
      <c r="C56" s="9">
        <f t="shared" si="12"/>
        <v>0</v>
      </c>
      <c r="D56" s="9">
        <f t="shared" si="12"/>
        <v>0</v>
      </c>
      <c r="E56" s="9">
        <f t="shared" si="12"/>
        <v>0</v>
      </c>
      <c r="F56" s="9">
        <f t="shared" si="12"/>
        <v>0</v>
      </c>
      <c r="G56" s="9">
        <f t="shared" si="12"/>
        <v>0</v>
      </c>
      <c r="H56" s="9">
        <f t="shared" si="12"/>
        <v>0</v>
      </c>
    </row>
    <row r="57" spans="1:8">
      <c r="A57" s="9">
        <f t="shared" si="10"/>
        <v>0</v>
      </c>
      <c r="B57" s="9">
        <f t="shared" si="11"/>
        <v>0</v>
      </c>
      <c r="C57" s="9">
        <f t="shared" si="12"/>
        <v>0</v>
      </c>
      <c r="D57" s="9">
        <f t="shared" si="12"/>
        <v>0</v>
      </c>
      <c r="E57" s="9">
        <f t="shared" si="12"/>
        <v>0</v>
      </c>
      <c r="F57" s="9">
        <f t="shared" si="12"/>
        <v>0</v>
      </c>
      <c r="G57" s="9">
        <f t="shared" si="12"/>
        <v>0</v>
      </c>
      <c r="H57" s="9">
        <f t="shared" si="12"/>
        <v>0</v>
      </c>
    </row>
    <row r="58" spans="1:8">
      <c r="A58" s="9">
        <f t="shared" si="10"/>
        <v>0</v>
      </c>
      <c r="B58" s="9">
        <f t="shared" si="11"/>
        <v>0</v>
      </c>
      <c r="C58" s="9">
        <f t="shared" si="12"/>
        <v>0</v>
      </c>
      <c r="D58" s="9">
        <f t="shared" si="12"/>
        <v>0</v>
      </c>
      <c r="E58" s="9">
        <f t="shared" si="12"/>
        <v>0</v>
      </c>
      <c r="F58" s="9">
        <f t="shared" si="12"/>
        <v>0</v>
      </c>
      <c r="G58" s="9">
        <f t="shared" si="12"/>
        <v>0</v>
      </c>
      <c r="H58" s="9">
        <f t="shared" si="12"/>
        <v>0</v>
      </c>
    </row>
    <row r="59" spans="1:8">
      <c r="A59" s="9" t="str">
        <f>B33</f>
        <v>Groundnut</v>
      </c>
      <c r="B59" s="9">
        <f>H33*$B$40</f>
        <v>0</v>
      </c>
      <c r="C59" s="9">
        <f t="shared" si="12"/>
        <v>0</v>
      </c>
      <c r="D59" s="9">
        <f t="shared" si="12"/>
        <v>0</v>
      </c>
      <c r="E59" s="9">
        <f t="shared" si="12"/>
        <v>0</v>
      </c>
      <c r="F59" s="9">
        <f t="shared" si="12"/>
        <v>0</v>
      </c>
      <c r="G59" s="9">
        <f t="shared" si="12"/>
        <v>0</v>
      </c>
      <c r="H59" s="9">
        <f t="shared" si="12"/>
        <v>0</v>
      </c>
    </row>
    <row r="60" spans="1:8">
      <c r="A60" s="9">
        <f>B34</f>
        <v>0</v>
      </c>
      <c r="B60" s="9">
        <f>H34*$B$40</f>
        <v>0</v>
      </c>
      <c r="C60" s="9">
        <f t="shared" si="12"/>
        <v>0</v>
      </c>
      <c r="D60" s="9">
        <f t="shared" si="12"/>
        <v>0</v>
      </c>
      <c r="E60" s="9">
        <f t="shared" si="12"/>
        <v>0</v>
      </c>
      <c r="F60" s="9">
        <f t="shared" si="12"/>
        <v>0</v>
      </c>
      <c r="G60" s="9">
        <f t="shared" si="12"/>
        <v>0</v>
      </c>
      <c r="H60" s="9">
        <f t="shared" si="12"/>
        <v>0</v>
      </c>
    </row>
    <row r="61" spans="1:8">
      <c r="A61" s="9">
        <f>B35</f>
        <v>0</v>
      </c>
      <c r="B61" s="9">
        <f>H35*$B$40</f>
        <v>0</v>
      </c>
      <c r="C61" s="9">
        <f t="shared" si="12"/>
        <v>0</v>
      </c>
      <c r="D61" s="9">
        <f t="shared" si="12"/>
        <v>0</v>
      </c>
      <c r="E61" s="9">
        <f t="shared" si="12"/>
        <v>0</v>
      </c>
      <c r="F61" s="9">
        <f t="shared" si="12"/>
        <v>0</v>
      </c>
      <c r="G61" s="9">
        <f t="shared" si="12"/>
        <v>0</v>
      </c>
      <c r="H61" s="9">
        <f t="shared" si="12"/>
        <v>0</v>
      </c>
    </row>
    <row r="62" spans="1:8">
      <c r="A62" s="9">
        <f>B36</f>
        <v>0</v>
      </c>
      <c r="B62" s="9">
        <f>H36*$B$40</f>
        <v>0</v>
      </c>
      <c r="C62" s="9">
        <f t="shared" ref="C62:H62" si="13">(B62/B$40)*C$40</f>
        <v>0</v>
      </c>
      <c r="D62" s="9">
        <f t="shared" si="13"/>
        <v>0</v>
      </c>
      <c r="E62" s="9">
        <f t="shared" si="13"/>
        <v>0</v>
      </c>
      <c r="F62" s="9">
        <f t="shared" si="13"/>
        <v>0</v>
      </c>
      <c r="G62" s="9">
        <f t="shared" si="13"/>
        <v>0</v>
      </c>
      <c r="H62" s="9">
        <f t="shared" si="13"/>
        <v>0</v>
      </c>
    </row>
    <row r="64" spans="1:8" ht="18.75">
      <c r="A64" s="422" t="s">
        <v>582</v>
      </c>
      <c r="B64" s="423"/>
      <c r="C64" s="423"/>
      <c r="D64" s="423"/>
      <c r="E64" s="423"/>
      <c r="F64" s="423"/>
      <c r="G64" s="423"/>
      <c r="H64" s="424"/>
    </row>
    <row r="65" spans="1:8">
      <c r="A65" s="425" t="s">
        <v>0</v>
      </c>
      <c r="B65" s="275">
        <v>0.65</v>
      </c>
      <c r="C65" s="275">
        <f>B65+0.05</f>
        <v>0.70000000000000007</v>
      </c>
      <c r="D65" s="275">
        <f t="shared" ref="D65:G65" si="14">C65+0.05</f>
        <v>0.75000000000000011</v>
      </c>
      <c r="E65" s="275">
        <f t="shared" si="14"/>
        <v>0.80000000000000016</v>
      </c>
      <c r="F65" s="275">
        <f t="shared" si="14"/>
        <v>0.8500000000000002</v>
      </c>
      <c r="G65" s="275">
        <f t="shared" si="14"/>
        <v>0.90000000000000024</v>
      </c>
      <c r="H65" s="275">
        <f>G65+0.05</f>
        <v>0.95000000000000029</v>
      </c>
    </row>
    <row r="66" spans="1:8">
      <c r="A66" s="426"/>
      <c r="B66" s="268" t="s">
        <v>2</v>
      </c>
      <c r="C66" s="268" t="s">
        <v>3</v>
      </c>
      <c r="D66" s="268" t="s">
        <v>4</v>
      </c>
      <c r="E66" s="268" t="s">
        <v>5</v>
      </c>
      <c r="F66" s="268" t="s">
        <v>6</v>
      </c>
      <c r="G66" s="268" t="s">
        <v>169</v>
      </c>
      <c r="H66" s="268" t="s">
        <v>168</v>
      </c>
    </row>
    <row r="67" spans="1:8">
      <c r="A67" s="9" t="str">
        <f t="shared" ref="A67:A87" si="15">A42</f>
        <v>Soybean</v>
      </c>
      <c r="B67" s="9">
        <f>H14*$B$65</f>
        <v>0</v>
      </c>
      <c r="C67" s="9">
        <f>(B67/B$65)*C$65</f>
        <v>0</v>
      </c>
      <c r="D67" s="9">
        <f t="shared" ref="D67:H68" si="16">(C67/C$65)*D$65</f>
        <v>0</v>
      </c>
      <c r="E67" s="9">
        <f t="shared" si="16"/>
        <v>0</v>
      </c>
      <c r="F67" s="9">
        <f t="shared" si="16"/>
        <v>0</v>
      </c>
      <c r="G67" s="9">
        <f t="shared" si="16"/>
        <v>0</v>
      </c>
      <c r="H67" s="9">
        <f t="shared" si="16"/>
        <v>0</v>
      </c>
    </row>
    <row r="68" spans="1:8">
      <c r="A68" s="9" t="str">
        <f t="shared" si="15"/>
        <v>Red Gram/Tur</v>
      </c>
      <c r="B68" s="9">
        <f t="shared" ref="B68:B75" si="17">H15*$B$65</f>
        <v>4739.6212500000001</v>
      </c>
      <c r="C68" s="9">
        <f>(B68/B$65)*C$65</f>
        <v>5104.2075000000004</v>
      </c>
      <c r="D68" s="9">
        <f t="shared" si="16"/>
        <v>5468.7937500000007</v>
      </c>
      <c r="E68" s="9">
        <f t="shared" si="16"/>
        <v>5833.380000000001</v>
      </c>
      <c r="F68" s="9">
        <f t="shared" si="16"/>
        <v>6197.9662500000013</v>
      </c>
      <c r="G68" s="9">
        <f t="shared" si="16"/>
        <v>6562.5525000000016</v>
      </c>
      <c r="H68" s="9">
        <f t="shared" si="16"/>
        <v>6927.1387500000019</v>
      </c>
    </row>
    <row r="69" spans="1:8">
      <c r="A69" s="9" t="str">
        <f t="shared" si="15"/>
        <v>Paddy/Rice</v>
      </c>
      <c r="B69" s="9">
        <f t="shared" si="17"/>
        <v>0</v>
      </c>
      <c r="C69" s="9">
        <f t="shared" ref="C69:H69" si="18">(B69/B$65)*C$65</f>
        <v>0</v>
      </c>
      <c r="D69" s="9">
        <f t="shared" si="18"/>
        <v>0</v>
      </c>
      <c r="E69" s="9">
        <f t="shared" si="18"/>
        <v>0</v>
      </c>
      <c r="F69" s="9">
        <f t="shared" si="18"/>
        <v>0</v>
      </c>
      <c r="G69" s="9">
        <f t="shared" si="18"/>
        <v>0</v>
      </c>
      <c r="H69" s="9">
        <f t="shared" si="18"/>
        <v>0</v>
      </c>
    </row>
    <row r="70" spans="1:8">
      <c r="A70" s="9" t="str">
        <f t="shared" si="15"/>
        <v>Green Gram/ Moong</v>
      </c>
      <c r="B70" s="9">
        <f t="shared" si="17"/>
        <v>6519.058</v>
      </c>
      <c r="C70" s="9">
        <f t="shared" ref="C70:H70" si="19">(B70/B$65)*C$65</f>
        <v>7020.5240000000003</v>
      </c>
      <c r="D70" s="9">
        <f t="shared" si="19"/>
        <v>7521.9900000000007</v>
      </c>
      <c r="E70" s="9">
        <f t="shared" si="19"/>
        <v>8023.456000000001</v>
      </c>
      <c r="F70" s="9">
        <f t="shared" si="19"/>
        <v>8524.9220000000023</v>
      </c>
      <c r="G70" s="9">
        <f t="shared" si="19"/>
        <v>9026.3880000000026</v>
      </c>
      <c r="H70" s="9">
        <f t="shared" si="19"/>
        <v>9527.854000000003</v>
      </c>
    </row>
    <row r="71" spans="1:8">
      <c r="A71" s="9" t="str">
        <f t="shared" si="15"/>
        <v>Maize</v>
      </c>
      <c r="B71" s="9">
        <f t="shared" si="17"/>
        <v>0</v>
      </c>
      <c r="C71" s="9">
        <f t="shared" ref="C71:H71" si="20">(B71/B$65)*C$65</f>
        <v>0</v>
      </c>
      <c r="D71" s="9">
        <f t="shared" si="20"/>
        <v>0</v>
      </c>
      <c r="E71" s="9">
        <f t="shared" si="20"/>
        <v>0</v>
      </c>
      <c r="F71" s="9">
        <f t="shared" si="20"/>
        <v>0</v>
      </c>
      <c r="G71" s="9">
        <f t="shared" si="20"/>
        <v>0</v>
      </c>
      <c r="H71" s="9">
        <f t="shared" si="20"/>
        <v>0</v>
      </c>
    </row>
    <row r="72" spans="1:8">
      <c r="A72" s="9" t="str">
        <f t="shared" si="15"/>
        <v>Black Gram/Udid</v>
      </c>
      <c r="B72" s="9">
        <f t="shared" si="17"/>
        <v>5986.89</v>
      </c>
      <c r="C72" s="9">
        <f t="shared" ref="C72:H72" si="21">(B72/B$65)*C$65</f>
        <v>6447.420000000001</v>
      </c>
      <c r="D72" s="9">
        <f t="shared" si="21"/>
        <v>6907.9500000000016</v>
      </c>
      <c r="E72" s="9">
        <f t="shared" si="21"/>
        <v>7368.4800000000014</v>
      </c>
      <c r="F72" s="9">
        <f t="shared" si="21"/>
        <v>7829.010000000002</v>
      </c>
      <c r="G72" s="9">
        <f t="shared" si="21"/>
        <v>8289.5400000000027</v>
      </c>
      <c r="H72" s="9">
        <f t="shared" si="21"/>
        <v>8750.0700000000033</v>
      </c>
    </row>
    <row r="73" spans="1:8">
      <c r="A73" s="9" t="str">
        <f t="shared" si="15"/>
        <v>Bajra</v>
      </c>
      <c r="B73" s="9">
        <f t="shared" si="17"/>
        <v>0</v>
      </c>
      <c r="C73" s="9">
        <f t="shared" ref="C73:H73" si="22">(B73/B$65)*C$65</f>
        <v>0</v>
      </c>
      <c r="D73" s="9">
        <f t="shared" si="22"/>
        <v>0</v>
      </c>
      <c r="E73" s="9">
        <f t="shared" si="22"/>
        <v>0</v>
      </c>
      <c r="F73" s="9">
        <f t="shared" si="22"/>
        <v>0</v>
      </c>
      <c r="G73" s="9">
        <f t="shared" si="22"/>
        <v>0</v>
      </c>
      <c r="H73" s="9">
        <f t="shared" si="22"/>
        <v>0</v>
      </c>
    </row>
    <row r="74" spans="1:8">
      <c r="A74" s="9" t="str">
        <f t="shared" si="15"/>
        <v>Jawar</v>
      </c>
      <c r="B74" s="9">
        <f t="shared" si="17"/>
        <v>0</v>
      </c>
      <c r="C74" s="9">
        <f t="shared" ref="C74:H74" si="23">(B74/B$65)*C$65</f>
        <v>0</v>
      </c>
      <c r="D74" s="9">
        <f t="shared" si="23"/>
        <v>0</v>
      </c>
      <c r="E74" s="9">
        <f t="shared" si="23"/>
        <v>0</v>
      </c>
      <c r="F74" s="9">
        <f t="shared" si="23"/>
        <v>0</v>
      </c>
      <c r="G74" s="9">
        <f t="shared" si="23"/>
        <v>0</v>
      </c>
      <c r="H74" s="9">
        <f t="shared" si="23"/>
        <v>0</v>
      </c>
    </row>
    <row r="75" spans="1:8">
      <c r="A75" s="9" t="str">
        <f t="shared" si="15"/>
        <v>Sunflower</v>
      </c>
      <c r="B75" s="9">
        <f t="shared" si="17"/>
        <v>0</v>
      </c>
      <c r="C75" s="9">
        <f t="shared" ref="C75:H75" si="24">(B75/B$65)*C$65</f>
        <v>0</v>
      </c>
      <c r="D75" s="9">
        <f t="shared" si="24"/>
        <v>0</v>
      </c>
      <c r="E75" s="9">
        <f t="shared" si="24"/>
        <v>0</v>
      </c>
      <c r="F75" s="9">
        <f t="shared" si="24"/>
        <v>0</v>
      </c>
      <c r="G75" s="9">
        <f t="shared" si="24"/>
        <v>0</v>
      </c>
      <c r="H75" s="9">
        <f t="shared" si="24"/>
        <v>0</v>
      </c>
    </row>
    <row r="76" spans="1:8">
      <c r="A76" s="9" t="str">
        <f t="shared" si="15"/>
        <v>Wheat</v>
      </c>
      <c r="B76" s="9">
        <f t="shared" ref="B76:B83" si="25">H24*$B$65</f>
        <v>0</v>
      </c>
      <c r="C76" s="9">
        <f t="shared" ref="C76:H76" si="26">(B76/B$65)*C$65</f>
        <v>0</v>
      </c>
      <c r="D76" s="9">
        <f t="shared" si="26"/>
        <v>0</v>
      </c>
      <c r="E76" s="9">
        <f t="shared" si="26"/>
        <v>0</v>
      </c>
      <c r="F76" s="9">
        <f t="shared" si="26"/>
        <v>0</v>
      </c>
      <c r="G76" s="9">
        <f t="shared" si="26"/>
        <v>0</v>
      </c>
      <c r="H76" s="9">
        <f t="shared" si="26"/>
        <v>0</v>
      </c>
    </row>
    <row r="77" spans="1:8">
      <c r="A77" s="9" t="str">
        <f t="shared" si="15"/>
        <v>Bengal Gram/Channa</v>
      </c>
      <c r="B77" s="9">
        <f t="shared" si="25"/>
        <v>9027.85</v>
      </c>
      <c r="C77" s="9">
        <f t="shared" ref="C77:H77" si="27">(B77/B$65)*C$65</f>
        <v>9722.3000000000011</v>
      </c>
      <c r="D77" s="9">
        <f t="shared" si="27"/>
        <v>10416.750000000002</v>
      </c>
      <c r="E77" s="9">
        <f t="shared" si="27"/>
        <v>11111.200000000003</v>
      </c>
      <c r="F77" s="9">
        <f t="shared" si="27"/>
        <v>11805.650000000003</v>
      </c>
      <c r="G77" s="9">
        <f t="shared" si="27"/>
        <v>12500.100000000004</v>
      </c>
      <c r="H77" s="9">
        <f t="shared" si="27"/>
        <v>13194.550000000005</v>
      </c>
    </row>
    <row r="78" spans="1:8">
      <c r="A78" s="9" t="str">
        <f t="shared" si="15"/>
        <v>Jawar</v>
      </c>
      <c r="B78" s="9">
        <f t="shared" si="25"/>
        <v>0</v>
      </c>
      <c r="C78" s="9">
        <f t="shared" ref="C78:H78" si="28">(B78/B$65)*C$65</f>
        <v>0</v>
      </c>
      <c r="D78" s="9">
        <f t="shared" si="28"/>
        <v>0</v>
      </c>
      <c r="E78" s="9">
        <f t="shared" si="28"/>
        <v>0</v>
      </c>
      <c r="F78" s="9">
        <f t="shared" si="28"/>
        <v>0</v>
      </c>
      <c r="G78" s="9">
        <f t="shared" si="28"/>
        <v>0</v>
      </c>
      <c r="H78" s="9">
        <f t="shared" si="28"/>
        <v>0</v>
      </c>
    </row>
    <row r="79" spans="1:8">
      <c r="A79" s="9" t="str">
        <f t="shared" si="15"/>
        <v>Maize</v>
      </c>
      <c r="B79" s="9">
        <f t="shared" si="25"/>
        <v>0</v>
      </c>
      <c r="C79" s="9">
        <f t="shared" ref="C79:H79" si="29">(B79/B$65)*C$65</f>
        <v>0</v>
      </c>
      <c r="D79" s="9">
        <f t="shared" si="29"/>
        <v>0</v>
      </c>
      <c r="E79" s="9">
        <f t="shared" si="29"/>
        <v>0</v>
      </c>
      <c r="F79" s="9">
        <f t="shared" si="29"/>
        <v>0</v>
      </c>
      <c r="G79" s="9">
        <f t="shared" si="29"/>
        <v>0</v>
      </c>
      <c r="H79" s="9">
        <f t="shared" si="29"/>
        <v>0</v>
      </c>
    </row>
    <row r="80" spans="1:8">
      <c r="A80" s="9" t="str">
        <f t="shared" si="15"/>
        <v>Safflower</v>
      </c>
      <c r="B80" s="9">
        <f t="shared" si="25"/>
        <v>0</v>
      </c>
      <c r="C80" s="9">
        <f t="shared" ref="C80:H80" si="30">(B80/B$65)*C$65</f>
        <v>0</v>
      </c>
      <c r="D80" s="9">
        <f t="shared" si="30"/>
        <v>0</v>
      </c>
      <c r="E80" s="9">
        <f t="shared" si="30"/>
        <v>0</v>
      </c>
      <c r="F80" s="9">
        <f t="shared" si="30"/>
        <v>0</v>
      </c>
      <c r="G80" s="9">
        <f t="shared" si="30"/>
        <v>0</v>
      </c>
      <c r="H80" s="9">
        <f t="shared" si="30"/>
        <v>0</v>
      </c>
    </row>
    <row r="81" spans="1:8">
      <c r="A81" s="9">
        <f t="shared" si="15"/>
        <v>0</v>
      </c>
      <c r="B81" s="9">
        <f t="shared" si="25"/>
        <v>0</v>
      </c>
      <c r="C81" s="9">
        <f t="shared" ref="C81:H81" si="31">(B81/B$65)*C$65</f>
        <v>0</v>
      </c>
      <c r="D81" s="9">
        <f t="shared" si="31"/>
        <v>0</v>
      </c>
      <c r="E81" s="9">
        <f t="shared" si="31"/>
        <v>0</v>
      </c>
      <c r="F81" s="9">
        <f t="shared" si="31"/>
        <v>0</v>
      </c>
      <c r="G81" s="9">
        <f t="shared" si="31"/>
        <v>0</v>
      </c>
      <c r="H81" s="9">
        <f t="shared" si="31"/>
        <v>0</v>
      </c>
    </row>
    <row r="82" spans="1:8">
      <c r="A82" s="9">
        <f t="shared" si="15"/>
        <v>0</v>
      </c>
      <c r="B82" s="9">
        <f t="shared" si="25"/>
        <v>0</v>
      </c>
      <c r="C82" s="9">
        <f t="shared" ref="C82:H82" si="32">(B82/B$65)*C$65</f>
        <v>0</v>
      </c>
      <c r="D82" s="9">
        <f t="shared" si="32"/>
        <v>0</v>
      </c>
      <c r="E82" s="9">
        <f t="shared" si="32"/>
        <v>0</v>
      </c>
      <c r="F82" s="9">
        <f t="shared" si="32"/>
        <v>0</v>
      </c>
      <c r="G82" s="9">
        <f t="shared" si="32"/>
        <v>0</v>
      </c>
      <c r="H82" s="9">
        <f t="shared" si="32"/>
        <v>0</v>
      </c>
    </row>
    <row r="83" spans="1:8">
      <c r="A83" s="9">
        <f t="shared" si="15"/>
        <v>0</v>
      </c>
      <c r="B83" s="9">
        <f t="shared" si="25"/>
        <v>0</v>
      </c>
      <c r="C83" s="9">
        <f t="shared" ref="C83:H83" si="33">(B83/B$65)*C$65</f>
        <v>0</v>
      </c>
      <c r="D83" s="9">
        <f t="shared" si="33"/>
        <v>0</v>
      </c>
      <c r="E83" s="9">
        <f t="shared" si="33"/>
        <v>0</v>
      </c>
      <c r="F83" s="9">
        <f t="shared" si="33"/>
        <v>0</v>
      </c>
      <c r="G83" s="9">
        <f t="shared" si="33"/>
        <v>0</v>
      </c>
      <c r="H83" s="9">
        <f t="shared" si="33"/>
        <v>0</v>
      </c>
    </row>
    <row r="84" spans="1:8">
      <c r="A84" s="9" t="str">
        <f t="shared" si="15"/>
        <v>Groundnut</v>
      </c>
      <c r="B84" s="9">
        <f>H33*$B$65</f>
        <v>0</v>
      </c>
      <c r="C84" s="9">
        <f t="shared" ref="C84:H84" si="34">(B84/B$65)*C$65</f>
        <v>0</v>
      </c>
      <c r="D84" s="9">
        <f t="shared" si="34"/>
        <v>0</v>
      </c>
      <c r="E84" s="9">
        <f t="shared" si="34"/>
        <v>0</v>
      </c>
      <c r="F84" s="9">
        <f t="shared" si="34"/>
        <v>0</v>
      </c>
      <c r="G84" s="9">
        <f t="shared" si="34"/>
        <v>0</v>
      </c>
      <c r="H84" s="9">
        <f t="shared" si="34"/>
        <v>0</v>
      </c>
    </row>
    <row r="85" spans="1:8">
      <c r="A85" s="9">
        <f t="shared" si="15"/>
        <v>0</v>
      </c>
      <c r="B85" s="9">
        <f>H34*$B$65</f>
        <v>0</v>
      </c>
      <c r="C85" s="9">
        <f t="shared" ref="C85:H85" si="35">(B85/B$65)*C$65</f>
        <v>0</v>
      </c>
      <c r="D85" s="9">
        <f t="shared" si="35"/>
        <v>0</v>
      </c>
      <c r="E85" s="9">
        <f t="shared" si="35"/>
        <v>0</v>
      </c>
      <c r="F85" s="9">
        <f t="shared" si="35"/>
        <v>0</v>
      </c>
      <c r="G85" s="9">
        <f t="shared" si="35"/>
        <v>0</v>
      </c>
      <c r="H85" s="9">
        <f t="shared" si="35"/>
        <v>0</v>
      </c>
    </row>
    <row r="86" spans="1:8">
      <c r="A86" s="9">
        <f t="shared" si="15"/>
        <v>0</v>
      </c>
      <c r="B86" s="9">
        <f>H35*$B$65</f>
        <v>0</v>
      </c>
      <c r="C86" s="9">
        <f t="shared" ref="C86:H86" si="36">(B86/B$65)*C$65</f>
        <v>0</v>
      </c>
      <c r="D86" s="9">
        <f t="shared" si="36"/>
        <v>0</v>
      </c>
      <c r="E86" s="9">
        <f t="shared" si="36"/>
        <v>0</v>
      </c>
      <c r="F86" s="9">
        <f t="shared" si="36"/>
        <v>0</v>
      </c>
      <c r="G86" s="9">
        <f t="shared" si="36"/>
        <v>0</v>
      </c>
      <c r="H86" s="9">
        <f t="shared" si="36"/>
        <v>0</v>
      </c>
    </row>
    <row r="87" spans="1:8">
      <c r="A87" s="9">
        <f t="shared" si="15"/>
        <v>0</v>
      </c>
      <c r="B87" s="9">
        <f>H36*$B$65</f>
        <v>0</v>
      </c>
      <c r="C87" s="9">
        <f t="shared" ref="C87:H87" si="37">(B87/B$65)*C$65</f>
        <v>0</v>
      </c>
      <c r="D87" s="9">
        <f t="shared" si="37"/>
        <v>0</v>
      </c>
      <c r="E87" s="9">
        <f t="shared" si="37"/>
        <v>0</v>
      </c>
      <c r="F87" s="9">
        <f t="shared" si="37"/>
        <v>0</v>
      </c>
      <c r="G87" s="9">
        <f t="shared" si="37"/>
        <v>0</v>
      </c>
      <c r="H87" s="9">
        <f t="shared" si="37"/>
        <v>0</v>
      </c>
    </row>
    <row r="89" spans="1:8">
      <c r="A89" s="427" t="s">
        <v>583</v>
      </c>
      <c r="B89" s="428"/>
      <c r="C89" s="428"/>
      <c r="D89" s="428"/>
      <c r="E89" s="428"/>
      <c r="F89" s="428"/>
      <c r="G89" s="428"/>
      <c r="H89" s="429"/>
    </row>
    <row r="90" spans="1:8">
      <c r="A90" s="411" t="s">
        <v>0</v>
      </c>
      <c r="B90" s="293">
        <v>1E-10</v>
      </c>
      <c r="C90" s="293">
        <v>1E-10</v>
      </c>
      <c r="D90" s="293">
        <v>1E-10</v>
      </c>
      <c r="E90" s="293">
        <v>1E-10</v>
      </c>
      <c r="F90" s="293">
        <v>1E-10</v>
      </c>
      <c r="G90" s="293">
        <v>1E-10</v>
      </c>
      <c r="H90" s="293">
        <v>1E-10</v>
      </c>
    </row>
    <row r="91" spans="1:8">
      <c r="A91" s="412"/>
      <c r="B91" s="268" t="s">
        <v>2</v>
      </c>
      <c r="C91" s="268" t="s">
        <v>3</v>
      </c>
      <c r="D91" s="268" t="s">
        <v>4</v>
      </c>
      <c r="E91" s="268" t="s">
        <v>5</v>
      </c>
      <c r="F91" s="268" t="s">
        <v>6</v>
      </c>
      <c r="G91" s="268" t="s">
        <v>169</v>
      </c>
      <c r="H91" s="268" t="s">
        <v>168</v>
      </c>
    </row>
    <row r="92" spans="1:8">
      <c r="A92" s="9" t="str">
        <f t="shared" ref="A92:A112" si="38">A67</f>
        <v>Soybean</v>
      </c>
      <c r="B92" s="9"/>
      <c r="C92" s="9"/>
      <c r="D92" s="9"/>
      <c r="E92" s="9"/>
      <c r="F92" s="9"/>
      <c r="G92" s="9"/>
      <c r="H92" s="9"/>
    </row>
    <row r="93" spans="1:8">
      <c r="A93" s="9" t="str">
        <f t="shared" si="38"/>
        <v>Red Gram/Tur</v>
      </c>
      <c r="B93" s="9"/>
      <c r="C93" s="9"/>
      <c r="D93" s="9"/>
      <c r="E93" s="9"/>
      <c r="F93" s="9"/>
      <c r="G93" s="9"/>
      <c r="H93" s="9"/>
    </row>
    <row r="94" spans="1:8">
      <c r="A94" s="9" t="str">
        <f t="shared" si="38"/>
        <v>Paddy/Rice</v>
      </c>
      <c r="B94" s="9"/>
      <c r="C94" s="9"/>
      <c r="D94" s="9"/>
      <c r="E94" s="9"/>
      <c r="F94" s="9"/>
      <c r="G94" s="9"/>
      <c r="H94" s="9"/>
    </row>
    <row r="95" spans="1:8">
      <c r="A95" s="9" t="str">
        <f t="shared" si="38"/>
        <v>Green Gram/ Moong</v>
      </c>
      <c r="B95" s="9"/>
      <c r="C95" s="9"/>
      <c r="D95" s="9"/>
      <c r="E95" s="9"/>
      <c r="F95" s="9"/>
      <c r="G95" s="9"/>
      <c r="H95" s="9"/>
    </row>
    <row r="96" spans="1:8">
      <c r="A96" s="9" t="str">
        <f t="shared" si="38"/>
        <v>Maize</v>
      </c>
      <c r="B96" s="9"/>
      <c r="C96" s="9"/>
      <c r="D96" s="9"/>
      <c r="E96" s="9"/>
      <c r="F96" s="9"/>
      <c r="G96" s="9"/>
      <c r="H96" s="9"/>
    </row>
    <row r="97" spans="1:8">
      <c r="A97" s="9" t="str">
        <f t="shared" si="38"/>
        <v>Black Gram/Udid</v>
      </c>
      <c r="B97" s="9"/>
      <c r="C97" s="9"/>
      <c r="D97" s="9"/>
      <c r="E97" s="9"/>
      <c r="F97" s="9"/>
      <c r="G97" s="9"/>
      <c r="H97" s="9"/>
    </row>
    <row r="98" spans="1:8">
      <c r="A98" s="9" t="str">
        <f t="shared" si="38"/>
        <v>Bajra</v>
      </c>
      <c r="B98" s="9"/>
      <c r="C98" s="9"/>
      <c r="D98" s="9"/>
      <c r="E98" s="9"/>
      <c r="F98" s="9"/>
      <c r="G98" s="9"/>
      <c r="H98" s="9"/>
    </row>
    <row r="99" spans="1:8">
      <c r="A99" s="9" t="str">
        <f t="shared" si="38"/>
        <v>Jawar</v>
      </c>
      <c r="B99" s="9"/>
      <c r="C99" s="9"/>
      <c r="D99" s="9"/>
      <c r="E99" s="9"/>
      <c r="F99" s="9"/>
      <c r="G99" s="9"/>
      <c r="H99" s="9"/>
    </row>
    <row r="100" spans="1:8">
      <c r="A100" s="9" t="str">
        <f t="shared" si="38"/>
        <v>Sunflower</v>
      </c>
      <c r="B100" s="9"/>
      <c r="C100" s="9"/>
      <c r="D100" s="9"/>
      <c r="E100" s="9"/>
      <c r="F100" s="9"/>
      <c r="G100" s="9"/>
      <c r="H100" s="9"/>
    </row>
    <row r="101" spans="1:8">
      <c r="A101" s="9" t="str">
        <f t="shared" si="38"/>
        <v>Wheat</v>
      </c>
      <c r="B101" s="9"/>
      <c r="C101" s="9"/>
      <c r="D101" s="9"/>
      <c r="E101" s="9"/>
      <c r="F101" s="9"/>
      <c r="G101" s="9"/>
      <c r="H101" s="9"/>
    </row>
    <row r="102" spans="1:8">
      <c r="A102" s="9" t="str">
        <f t="shared" si="38"/>
        <v>Bengal Gram/Channa</v>
      </c>
      <c r="B102" s="9"/>
      <c r="C102" s="9"/>
      <c r="D102" s="9"/>
      <c r="E102" s="9"/>
      <c r="F102" s="9"/>
      <c r="G102" s="9"/>
      <c r="H102" s="9"/>
    </row>
    <row r="103" spans="1:8">
      <c r="A103" s="9" t="str">
        <f t="shared" si="38"/>
        <v>Jawar</v>
      </c>
      <c r="B103" s="9"/>
      <c r="C103" s="9"/>
      <c r="D103" s="9"/>
      <c r="E103" s="9"/>
      <c r="F103" s="9"/>
      <c r="G103" s="9"/>
      <c r="H103" s="9"/>
    </row>
    <row r="104" spans="1:8">
      <c r="A104" s="9" t="str">
        <f t="shared" si="38"/>
        <v>Maize</v>
      </c>
      <c r="B104" s="9"/>
      <c r="C104" s="9"/>
      <c r="D104" s="9"/>
      <c r="E104" s="9"/>
      <c r="F104" s="9"/>
      <c r="G104" s="9"/>
      <c r="H104" s="9"/>
    </row>
    <row r="105" spans="1:8">
      <c r="A105" s="9" t="str">
        <f t="shared" si="38"/>
        <v>Safflower</v>
      </c>
      <c r="B105" s="9"/>
      <c r="C105" s="9"/>
      <c r="D105" s="9"/>
      <c r="E105" s="9"/>
      <c r="F105" s="9"/>
      <c r="G105" s="9"/>
      <c r="H105" s="9"/>
    </row>
    <row r="106" spans="1:8">
      <c r="A106" s="9">
        <f t="shared" si="38"/>
        <v>0</v>
      </c>
      <c r="B106" s="9"/>
      <c r="C106" s="9"/>
      <c r="D106" s="9"/>
      <c r="E106" s="9"/>
      <c r="F106" s="9"/>
      <c r="G106" s="9"/>
      <c r="H106" s="9"/>
    </row>
    <row r="107" spans="1:8">
      <c r="A107" s="9">
        <f t="shared" si="38"/>
        <v>0</v>
      </c>
      <c r="B107" s="9">
        <f t="shared" ref="B107:B108" si="39">D30*$B$90</f>
        <v>0</v>
      </c>
      <c r="C107" s="9">
        <f t="shared" ref="C107:C113" si="40">(B107/B$90)*C$90</f>
        <v>0</v>
      </c>
      <c r="D107" s="9">
        <f t="shared" ref="D107:H113" si="41">(C107/C$90)*D$90</f>
        <v>0</v>
      </c>
      <c r="E107" s="9">
        <f t="shared" si="41"/>
        <v>0</v>
      </c>
      <c r="F107" s="9">
        <f t="shared" si="41"/>
        <v>0</v>
      </c>
      <c r="G107" s="9">
        <f t="shared" si="41"/>
        <v>0</v>
      </c>
      <c r="H107" s="9">
        <f t="shared" si="41"/>
        <v>0</v>
      </c>
    </row>
    <row r="108" spans="1:8">
      <c r="A108" s="9">
        <f t="shared" si="38"/>
        <v>0</v>
      </c>
      <c r="B108" s="9">
        <f t="shared" si="39"/>
        <v>0</v>
      </c>
      <c r="C108" s="9">
        <f t="shared" si="40"/>
        <v>0</v>
      </c>
      <c r="D108" s="9">
        <f t="shared" si="41"/>
        <v>0</v>
      </c>
      <c r="E108" s="9">
        <f t="shared" si="41"/>
        <v>0</v>
      </c>
      <c r="F108" s="9">
        <f t="shared" si="41"/>
        <v>0</v>
      </c>
      <c r="G108" s="9">
        <f t="shared" si="41"/>
        <v>0</v>
      </c>
      <c r="H108" s="9">
        <f t="shared" si="41"/>
        <v>0</v>
      </c>
    </row>
    <row r="109" spans="1:8">
      <c r="A109" s="9" t="str">
        <f t="shared" si="38"/>
        <v>Groundnut</v>
      </c>
      <c r="B109" s="9">
        <f>D33*$B$90</f>
        <v>0</v>
      </c>
      <c r="C109" s="9">
        <f t="shared" si="40"/>
        <v>0</v>
      </c>
      <c r="D109" s="9">
        <f t="shared" si="41"/>
        <v>0</v>
      </c>
      <c r="E109" s="9">
        <f t="shared" si="41"/>
        <v>0</v>
      </c>
      <c r="F109" s="9">
        <f t="shared" si="41"/>
        <v>0</v>
      </c>
      <c r="G109" s="9">
        <f t="shared" si="41"/>
        <v>0</v>
      </c>
      <c r="H109" s="9">
        <f t="shared" si="41"/>
        <v>0</v>
      </c>
    </row>
    <row r="110" spans="1:8">
      <c r="A110" s="9">
        <f t="shared" si="38"/>
        <v>0</v>
      </c>
      <c r="B110" s="9">
        <f>D34*$B$90</f>
        <v>0</v>
      </c>
      <c r="C110" s="9">
        <f t="shared" si="40"/>
        <v>0</v>
      </c>
      <c r="D110" s="9">
        <f t="shared" si="41"/>
        <v>0</v>
      </c>
      <c r="E110" s="9">
        <f t="shared" si="41"/>
        <v>0</v>
      </c>
      <c r="F110" s="9">
        <f t="shared" si="41"/>
        <v>0</v>
      </c>
      <c r="G110" s="9">
        <f t="shared" si="41"/>
        <v>0</v>
      </c>
      <c r="H110" s="9">
        <f t="shared" si="41"/>
        <v>0</v>
      </c>
    </row>
    <row r="111" spans="1:8">
      <c r="A111" s="9">
        <f t="shared" si="38"/>
        <v>0</v>
      </c>
      <c r="B111" s="9">
        <f>D34*$B$90</f>
        <v>0</v>
      </c>
      <c r="C111" s="9">
        <f t="shared" si="40"/>
        <v>0</v>
      </c>
      <c r="D111" s="9">
        <f t="shared" si="41"/>
        <v>0</v>
      </c>
      <c r="E111" s="9">
        <f t="shared" si="41"/>
        <v>0</v>
      </c>
      <c r="F111" s="9">
        <f t="shared" si="41"/>
        <v>0</v>
      </c>
      <c r="G111" s="9">
        <f t="shared" si="41"/>
        <v>0</v>
      </c>
      <c r="H111" s="9">
        <f t="shared" si="41"/>
        <v>0</v>
      </c>
    </row>
    <row r="112" spans="1:8">
      <c r="A112" s="9">
        <f t="shared" si="38"/>
        <v>0</v>
      </c>
      <c r="B112" s="9">
        <f>D36*$B$90</f>
        <v>0</v>
      </c>
      <c r="C112" s="9">
        <f t="shared" si="40"/>
        <v>0</v>
      </c>
      <c r="D112" s="9">
        <f t="shared" si="41"/>
        <v>0</v>
      </c>
      <c r="E112" s="9">
        <f t="shared" si="41"/>
        <v>0</v>
      </c>
      <c r="F112" s="9">
        <f t="shared" si="41"/>
        <v>0</v>
      </c>
      <c r="G112" s="9">
        <f t="shared" si="41"/>
        <v>0</v>
      </c>
      <c r="H112" s="9">
        <f t="shared" si="41"/>
        <v>0</v>
      </c>
    </row>
    <row r="113" spans="1:9">
      <c r="A113" s="9"/>
      <c r="B113" s="9">
        <f>D37*$B$90</f>
        <v>0</v>
      </c>
      <c r="C113" s="9">
        <f t="shared" si="40"/>
        <v>0</v>
      </c>
      <c r="D113" s="9">
        <f t="shared" si="41"/>
        <v>0</v>
      </c>
      <c r="E113" s="9">
        <f t="shared" si="41"/>
        <v>0</v>
      </c>
      <c r="F113" s="9">
        <f t="shared" si="41"/>
        <v>0</v>
      </c>
      <c r="G113" s="9">
        <f t="shared" si="41"/>
        <v>0</v>
      </c>
      <c r="H113" s="9">
        <f t="shared" si="41"/>
        <v>0</v>
      </c>
    </row>
    <row r="115" spans="1:9">
      <c r="C115" s="4"/>
      <c r="D115" s="6"/>
      <c r="E115" s="6"/>
      <c r="F115" s="6"/>
      <c r="G115" s="6"/>
      <c r="H115" s="6"/>
      <c r="I115" s="6"/>
    </row>
    <row r="116" spans="1:9">
      <c r="A116" t="s">
        <v>551</v>
      </c>
      <c r="C116" s="13"/>
      <c r="D116" s="13"/>
      <c r="E116" s="13"/>
      <c r="F116" s="13"/>
      <c r="G116" s="13"/>
      <c r="H116" s="13"/>
      <c r="I116" s="13"/>
    </row>
    <row r="117" spans="1:9">
      <c r="A117">
        <v>1</v>
      </c>
      <c r="B117" t="s">
        <v>604</v>
      </c>
    </row>
    <row r="118" spans="1:9">
      <c r="A118">
        <v>2</v>
      </c>
      <c r="B118" t="s">
        <v>605</v>
      </c>
    </row>
    <row r="119" spans="1:9">
      <c r="A119">
        <v>3</v>
      </c>
      <c r="B119" t="s">
        <v>554</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7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zoomScale="78" zoomScaleSheetLayoutView="78"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62" t="s">
        <v>509</v>
      </c>
      <c r="B1" s="362"/>
      <c r="C1" s="362"/>
      <c r="D1" s="362"/>
      <c r="E1" s="362"/>
      <c r="F1" s="362"/>
      <c r="G1" s="362"/>
      <c r="H1" s="362"/>
    </row>
    <row r="2" spans="1:26">
      <c r="B2" s="4"/>
    </row>
    <row r="3" spans="1:26" ht="18.75">
      <c r="A3" s="410" t="s">
        <v>584</v>
      </c>
      <c r="B3" s="410"/>
    </row>
    <row r="4" spans="1:26">
      <c r="A4" s="257" t="s">
        <v>0</v>
      </c>
      <c r="B4" s="268" t="s">
        <v>396</v>
      </c>
      <c r="C4" s="269"/>
      <c r="D4" s="269"/>
      <c r="E4" s="269"/>
      <c r="F4" s="269"/>
      <c r="G4" s="269"/>
      <c r="H4" s="269"/>
    </row>
    <row r="5" spans="1:26">
      <c r="A5" s="9" t="s">
        <v>502</v>
      </c>
      <c r="B5" s="253"/>
      <c r="D5" s="270"/>
      <c r="E5" s="270"/>
      <c r="F5" s="270"/>
      <c r="G5" s="270"/>
      <c r="H5" s="270"/>
    </row>
    <row r="6" spans="1:26">
      <c r="A6" s="9" t="s">
        <v>503</v>
      </c>
      <c r="B6" s="253"/>
      <c r="D6" s="270"/>
      <c r="E6" s="270"/>
      <c r="F6" s="270"/>
      <c r="G6" s="270"/>
      <c r="H6" s="270"/>
    </row>
    <row r="7" spans="1:26">
      <c r="A7" s="2" t="s">
        <v>1</v>
      </c>
      <c r="B7" s="2">
        <f>B5+B6</f>
        <v>0</v>
      </c>
      <c r="C7" s="5"/>
      <c r="D7" s="271"/>
      <c r="E7" s="271"/>
      <c r="F7" s="271"/>
      <c r="G7" s="271"/>
      <c r="H7" s="271"/>
    </row>
    <row r="8" spans="1:26">
      <c r="A8" s="2" t="s">
        <v>504</v>
      </c>
      <c r="B8" s="285">
        <v>1</v>
      </c>
      <c r="C8" s="5"/>
      <c r="D8" s="5"/>
      <c r="E8" s="5"/>
      <c r="F8" s="5"/>
      <c r="G8" s="5"/>
      <c r="H8" s="5"/>
    </row>
    <row r="9" spans="1:26">
      <c r="A9" s="2" t="s">
        <v>505</v>
      </c>
      <c r="B9" s="2">
        <f>B7*B8</f>
        <v>0</v>
      </c>
      <c r="C9" s="271"/>
      <c r="D9" s="271"/>
      <c r="E9" s="271"/>
      <c r="F9" s="271"/>
      <c r="G9" s="271"/>
      <c r="H9" s="271"/>
    </row>
    <row r="10" spans="1:26">
      <c r="J10" t="s">
        <v>462</v>
      </c>
      <c r="O10" t="s">
        <v>458</v>
      </c>
      <c r="U10" t="s">
        <v>459</v>
      </c>
      <c r="Y10" t="s">
        <v>460</v>
      </c>
      <c r="Z10" t="s">
        <v>461</v>
      </c>
    </row>
    <row r="11" spans="1:26" ht="18.75">
      <c r="A11" s="362" t="s">
        <v>585</v>
      </c>
      <c r="B11" s="362"/>
      <c r="C11" s="362"/>
      <c r="D11" s="362"/>
      <c r="E11" s="362"/>
      <c r="F11" s="362"/>
      <c r="G11" s="362"/>
      <c r="H11" s="362"/>
      <c r="I11" s="5"/>
      <c r="J11" s="5"/>
      <c r="K11" s="5"/>
      <c r="L11" s="5"/>
      <c r="M11" s="5"/>
      <c r="N11" s="5"/>
      <c r="O11" s="5"/>
      <c r="P11" s="5"/>
    </row>
    <row r="12" spans="1:26">
      <c r="J12" s="3">
        <v>0.65</v>
      </c>
      <c r="K12" s="266">
        <f>J12+0.05</f>
        <v>0.70000000000000007</v>
      </c>
      <c r="L12" s="266">
        <f t="shared" ref="L12:N12" si="0">K12+0.05</f>
        <v>0.75000000000000011</v>
      </c>
      <c r="M12" s="266">
        <f t="shared" si="0"/>
        <v>0.80000000000000016</v>
      </c>
      <c r="N12" s="266">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7" t="s">
        <v>400</v>
      </c>
      <c r="B13" s="257" t="s">
        <v>401</v>
      </c>
      <c r="C13" s="258" t="s">
        <v>455</v>
      </c>
      <c r="D13" s="258" t="s">
        <v>463</v>
      </c>
      <c r="E13" s="258" t="s">
        <v>464</v>
      </c>
      <c r="F13" s="258" t="s">
        <v>402</v>
      </c>
      <c r="G13" s="258" t="s">
        <v>652</v>
      </c>
      <c r="H13" s="258" t="s">
        <v>403</v>
      </c>
      <c r="O13" s="265" t="s">
        <v>2</v>
      </c>
      <c r="P13" s="265" t="s">
        <v>3</v>
      </c>
      <c r="Q13" s="265" t="s">
        <v>4</v>
      </c>
      <c r="R13" s="265" t="s">
        <v>5</v>
      </c>
      <c r="S13" s="265" t="s">
        <v>6</v>
      </c>
      <c r="T13" s="265" t="s">
        <v>2</v>
      </c>
      <c r="U13" s="265" t="s">
        <v>3</v>
      </c>
      <c r="V13" s="265" t="s">
        <v>4</v>
      </c>
      <c r="W13" s="265" t="s">
        <v>5</v>
      </c>
      <c r="X13" s="265" t="s">
        <v>6</v>
      </c>
    </row>
    <row r="14" spans="1:26">
      <c r="A14" s="414" t="s">
        <v>404</v>
      </c>
      <c r="B14" s="253" t="s">
        <v>492</v>
      </c>
      <c r="C14" s="263">
        <v>0</v>
      </c>
      <c r="D14" s="9">
        <f t="shared" ref="D14:D40" si="3">$B$9*C14</f>
        <v>0</v>
      </c>
      <c r="E14" s="254">
        <v>15</v>
      </c>
      <c r="F14" s="9">
        <f>D14*E14</f>
        <v>0</v>
      </c>
      <c r="G14" s="264">
        <v>0.1</v>
      </c>
      <c r="H14" s="9">
        <f>(F14-F14*G14)</f>
        <v>0</v>
      </c>
      <c r="J14">
        <f>$D$14*J12</f>
        <v>0</v>
      </c>
      <c r="K14">
        <f>$D$14*K12</f>
        <v>0</v>
      </c>
      <c r="L14">
        <f>$D$14*L12</f>
        <v>0</v>
      </c>
      <c r="M14">
        <f>$D$14*M12</f>
        <v>0</v>
      </c>
      <c r="N14">
        <f>$D$14*N12</f>
        <v>0</v>
      </c>
    </row>
    <row r="15" spans="1:26">
      <c r="A15" s="415"/>
      <c r="B15" s="253" t="s">
        <v>493</v>
      </c>
      <c r="C15" s="263">
        <v>0</v>
      </c>
      <c r="D15" s="9">
        <f t="shared" si="3"/>
        <v>0</v>
      </c>
      <c r="E15" s="254">
        <v>7</v>
      </c>
      <c r="F15" s="9">
        <f t="shared" ref="F15:F40" si="4">D15*E15</f>
        <v>0</v>
      </c>
      <c r="G15" s="264">
        <v>0.05</v>
      </c>
      <c r="H15" s="9">
        <f>(F15-F15*G15)</f>
        <v>0</v>
      </c>
    </row>
    <row r="16" spans="1:26">
      <c r="A16" s="415"/>
      <c r="B16" s="253" t="s">
        <v>494</v>
      </c>
      <c r="C16" s="263">
        <v>0</v>
      </c>
      <c r="D16" s="9">
        <f t="shared" si="3"/>
        <v>0</v>
      </c>
      <c r="E16" s="254">
        <v>4</v>
      </c>
      <c r="F16" s="9">
        <f t="shared" si="4"/>
        <v>0</v>
      </c>
      <c r="G16" s="264">
        <v>0</v>
      </c>
      <c r="H16" s="9">
        <f t="shared" ref="H16:H40" si="5">(F16-F16*G16)</f>
        <v>0</v>
      </c>
    </row>
    <row r="17" spans="1:8">
      <c r="A17" s="415"/>
      <c r="B17" s="253" t="s">
        <v>495</v>
      </c>
      <c r="C17" s="263">
        <v>0</v>
      </c>
      <c r="D17" s="9">
        <f t="shared" si="3"/>
        <v>0</v>
      </c>
      <c r="E17" s="254">
        <v>7</v>
      </c>
      <c r="F17" s="9">
        <f t="shared" si="4"/>
        <v>0</v>
      </c>
      <c r="G17" s="264">
        <v>0.02</v>
      </c>
      <c r="H17" s="9">
        <f t="shared" si="5"/>
        <v>0</v>
      </c>
    </row>
    <row r="18" spans="1:8">
      <c r="A18" s="415"/>
      <c r="B18" s="253" t="s">
        <v>497</v>
      </c>
      <c r="C18" s="263">
        <v>0</v>
      </c>
      <c r="D18" s="9">
        <f t="shared" si="3"/>
        <v>0</v>
      </c>
      <c r="E18" s="254">
        <v>20</v>
      </c>
      <c r="F18" s="9">
        <f t="shared" si="4"/>
        <v>0</v>
      </c>
      <c r="G18" s="264">
        <v>0</v>
      </c>
      <c r="H18" s="9">
        <f t="shared" si="5"/>
        <v>0</v>
      </c>
    </row>
    <row r="19" spans="1:8">
      <c r="A19" s="415"/>
      <c r="B19" s="253"/>
      <c r="C19" s="263">
        <v>0</v>
      </c>
      <c r="D19" s="9">
        <f t="shared" si="3"/>
        <v>0</v>
      </c>
      <c r="E19" s="254">
        <v>7</v>
      </c>
      <c r="F19" s="9">
        <f t="shared" si="4"/>
        <v>0</v>
      </c>
      <c r="G19" s="264">
        <v>0.1</v>
      </c>
      <c r="H19" s="9">
        <f t="shared" si="5"/>
        <v>0</v>
      </c>
    </row>
    <row r="20" spans="1:8">
      <c r="A20" s="415"/>
      <c r="B20" s="253"/>
      <c r="C20" s="263">
        <v>0</v>
      </c>
      <c r="D20" s="9">
        <f t="shared" si="3"/>
        <v>0</v>
      </c>
      <c r="E20" s="254">
        <v>6</v>
      </c>
      <c r="F20" s="9">
        <f t="shared" si="4"/>
        <v>0</v>
      </c>
      <c r="G20" s="264">
        <v>0.02</v>
      </c>
      <c r="H20" s="9">
        <f t="shared" si="5"/>
        <v>0</v>
      </c>
    </row>
    <row r="21" spans="1:8">
      <c r="A21" s="415"/>
      <c r="B21" s="253"/>
      <c r="C21" s="263">
        <v>0</v>
      </c>
      <c r="D21" s="9">
        <f t="shared" si="3"/>
        <v>0</v>
      </c>
      <c r="E21" s="254"/>
      <c r="F21" s="9">
        <f t="shared" si="4"/>
        <v>0</v>
      </c>
      <c r="G21" s="264">
        <v>0</v>
      </c>
      <c r="H21" s="9">
        <f t="shared" si="5"/>
        <v>0</v>
      </c>
    </row>
    <row r="22" spans="1:8">
      <c r="A22" s="416"/>
      <c r="B22" s="253"/>
      <c r="C22" s="263">
        <v>0</v>
      </c>
      <c r="D22" s="9">
        <f t="shared" si="3"/>
        <v>0</v>
      </c>
      <c r="E22" s="254"/>
      <c r="F22" s="9">
        <f t="shared" si="4"/>
        <v>0</v>
      </c>
      <c r="G22" s="264">
        <v>0</v>
      </c>
      <c r="H22" s="9">
        <f t="shared" si="5"/>
        <v>0</v>
      </c>
    </row>
    <row r="23" spans="1:8">
      <c r="A23" s="284" t="s">
        <v>510</v>
      </c>
      <c r="B23" s="278"/>
      <c r="C23" s="279">
        <f>B9*B23</f>
        <v>0</v>
      </c>
      <c r="D23" s="9"/>
      <c r="E23" s="254"/>
      <c r="F23" s="9"/>
      <c r="G23" s="264"/>
      <c r="H23" s="9"/>
    </row>
    <row r="24" spans="1:8">
      <c r="A24" s="414" t="s">
        <v>406</v>
      </c>
      <c r="B24" s="253" t="s">
        <v>492</v>
      </c>
      <c r="C24" s="263">
        <v>0</v>
      </c>
      <c r="D24" s="9">
        <f>C$23*C24</f>
        <v>0</v>
      </c>
      <c r="E24" s="254">
        <v>10</v>
      </c>
      <c r="F24" s="9">
        <f t="shared" si="4"/>
        <v>0</v>
      </c>
      <c r="G24" s="264">
        <v>0.1</v>
      </c>
      <c r="H24" s="9">
        <f t="shared" si="5"/>
        <v>0</v>
      </c>
    </row>
    <row r="25" spans="1:8">
      <c r="A25" s="415"/>
      <c r="B25" s="253" t="s">
        <v>493</v>
      </c>
      <c r="C25" s="263">
        <v>0</v>
      </c>
      <c r="D25" s="9">
        <f>C$23*C25</f>
        <v>0</v>
      </c>
      <c r="E25" s="254">
        <v>10</v>
      </c>
      <c r="F25" s="9">
        <f t="shared" si="4"/>
        <v>0</v>
      </c>
      <c r="G25" s="264">
        <v>0.1</v>
      </c>
      <c r="H25" s="9">
        <f t="shared" si="5"/>
        <v>0</v>
      </c>
    </row>
    <row r="26" spans="1:8">
      <c r="A26" s="415"/>
      <c r="B26" s="253" t="s">
        <v>494</v>
      </c>
      <c r="C26" s="263">
        <v>0</v>
      </c>
      <c r="D26" s="9">
        <f>C$23*C26</f>
        <v>0</v>
      </c>
      <c r="E26" s="254">
        <v>10</v>
      </c>
      <c r="F26" s="9">
        <f t="shared" si="4"/>
        <v>0</v>
      </c>
      <c r="G26" s="264">
        <v>0.05</v>
      </c>
      <c r="H26" s="9">
        <f t="shared" si="5"/>
        <v>0</v>
      </c>
    </row>
    <row r="27" spans="1:8">
      <c r="A27" s="415"/>
      <c r="B27" s="253" t="s">
        <v>495</v>
      </c>
      <c r="C27" s="263">
        <v>0</v>
      </c>
      <c r="D27" s="9">
        <f t="shared" ref="D27:D31" si="6">C$23*C27</f>
        <v>0</v>
      </c>
      <c r="E27" s="254">
        <v>20</v>
      </c>
      <c r="F27" s="9">
        <f t="shared" si="4"/>
        <v>0</v>
      </c>
      <c r="G27" s="264">
        <v>0</v>
      </c>
      <c r="H27" s="9">
        <f t="shared" si="5"/>
        <v>0</v>
      </c>
    </row>
    <row r="28" spans="1:8">
      <c r="A28" s="415"/>
      <c r="B28" s="253" t="s">
        <v>496</v>
      </c>
      <c r="C28" s="263">
        <v>0</v>
      </c>
      <c r="D28" s="9">
        <f t="shared" si="6"/>
        <v>0</v>
      </c>
      <c r="E28" s="254"/>
      <c r="F28" s="9">
        <f t="shared" si="4"/>
        <v>0</v>
      </c>
      <c r="G28" s="264">
        <v>0</v>
      </c>
      <c r="H28" s="9">
        <f t="shared" si="5"/>
        <v>0</v>
      </c>
    </row>
    <row r="29" spans="1:8">
      <c r="A29" s="415"/>
      <c r="B29" s="253"/>
      <c r="C29" s="263">
        <v>0</v>
      </c>
      <c r="D29" s="9">
        <f t="shared" si="6"/>
        <v>0</v>
      </c>
      <c r="E29" s="254"/>
      <c r="F29" s="9">
        <f t="shared" si="4"/>
        <v>0</v>
      </c>
      <c r="G29" s="264">
        <v>0</v>
      </c>
      <c r="H29" s="9">
        <f t="shared" si="5"/>
        <v>0</v>
      </c>
    </row>
    <row r="30" spans="1:8">
      <c r="A30" s="415"/>
      <c r="B30" s="253"/>
      <c r="C30" s="263">
        <v>0</v>
      </c>
      <c r="D30" s="9">
        <f t="shared" si="6"/>
        <v>0</v>
      </c>
      <c r="E30" s="254"/>
      <c r="F30" s="9">
        <f t="shared" si="4"/>
        <v>0</v>
      </c>
      <c r="G30" s="264">
        <v>0</v>
      </c>
      <c r="H30" s="9">
        <f t="shared" si="5"/>
        <v>0</v>
      </c>
    </row>
    <row r="31" spans="1:8">
      <c r="A31" s="416"/>
      <c r="B31" s="253"/>
      <c r="C31" s="263">
        <v>0</v>
      </c>
      <c r="D31" s="9">
        <f t="shared" si="6"/>
        <v>0</v>
      </c>
      <c r="E31" s="254"/>
      <c r="F31" s="9">
        <f t="shared" si="4"/>
        <v>0</v>
      </c>
      <c r="G31" s="264">
        <v>0</v>
      </c>
      <c r="H31" s="9">
        <f t="shared" si="5"/>
        <v>0</v>
      </c>
    </row>
    <row r="32" spans="1:8">
      <c r="A32" s="284" t="s">
        <v>511</v>
      </c>
      <c r="B32" s="278"/>
      <c r="C32" s="253">
        <f>B9*B32</f>
        <v>0</v>
      </c>
      <c r="D32" s="9"/>
      <c r="E32" s="254"/>
      <c r="F32" s="9"/>
      <c r="G32" s="264"/>
      <c r="H32" s="9"/>
    </row>
    <row r="33" spans="1:8">
      <c r="A33" s="281" t="s">
        <v>468</v>
      </c>
      <c r="B33" s="253"/>
      <c r="C33" s="263">
        <v>0</v>
      </c>
      <c r="D33" s="9">
        <f>C$32*C33</f>
        <v>0</v>
      </c>
      <c r="E33" s="254"/>
      <c r="F33" s="9">
        <f t="shared" si="4"/>
        <v>0</v>
      </c>
      <c r="G33" s="264">
        <v>0</v>
      </c>
      <c r="H33" s="9">
        <f t="shared" si="5"/>
        <v>0</v>
      </c>
    </row>
    <row r="34" spans="1:8">
      <c r="A34" s="282"/>
      <c r="B34" s="253"/>
      <c r="C34" s="263">
        <v>0</v>
      </c>
      <c r="D34" s="9">
        <f>C$32*C34</f>
        <v>0</v>
      </c>
      <c r="E34" s="254"/>
      <c r="F34" s="9">
        <f t="shared" si="4"/>
        <v>0</v>
      </c>
      <c r="G34" s="264">
        <v>0</v>
      </c>
      <c r="H34" s="9">
        <f t="shared" si="5"/>
        <v>0</v>
      </c>
    </row>
    <row r="35" spans="1:8">
      <c r="A35" s="282"/>
      <c r="B35" s="253"/>
      <c r="C35" s="263">
        <v>0</v>
      </c>
      <c r="D35" s="9">
        <f>C$32*C35</f>
        <v>0</v>
      </c>
      <c r="E35" s="254"/>
      <c r="F35" s="9">
        <f t="shared" si="4"/>
        <v>0</v>
      </c>
      <c r="G35" s="264">
        <v>0</v>
      </c>
      <c r="H35" s="9">
        <f t="shared" si="5"/>
        <v>0</v>
      </c>
    </row>
    <row r="36" spans="1:8">
      <c r="A36" s="283"/>
      <c r="B36" s="253"/>
      <c r="C36" s="263">
        <v>0</v>
      </c>
      <c r="D36" s="9">
        <f>C$32*C36</f>
        <v>0</v>
      </c>
      <c r="E36" s="254"/>
      <c r="F36" s="9">
        <f t="shared" si="4"/>
        <v>0</v>
      </c>
      <c r="G36" s="264">
        <v>0</v>
      </c>
      <c r="H36" s="9">
        <f t="shared" si="5"/>
        <v>0</v>
      </c>
    </row>
    <row r="37" spans="1:8">
      <c r="A37" s="430" t="s">
        <v>512</v>
      </c>
      <c r="B37" s="253" t="s">
        <v>498</v>
      </c>
      <c r="C37" s="263">
        <v>0</v>
      </c>
      <c r="D37" s="9">
        <f t="shared" si="3"/>
        <v>0</v>
      </c>
      <c r="E37" s="254">
        <v>6</v>
      </c>
      <c r="F37" s="9">
        <f t="shared" si="4"/>
        <v>0</v>
      </c>
      <c r="G37" s="264">
        <v>0.05</v>
      </c>
      <c r="H37" s="9">
        <f t="shared" si="5"/>
        <v>0</v>
      </c>
    </row>
    <row r="38" spans="1:8">
      <c r="A38" s="430"/>
      <c r="B38" s="253" t="s">
        <v>499</v>
      </c>
      <c r="C38" s="263">
        <v>0</v>
      </c>
      <c r="D38" s="9">
        <f t="shared" si="3"/>
        <v>0</v>
      </c>
      <c r="E38" s="254"/>
      <c r="F38" s="9">
        <f t="shared" si="4"/>
        <v>0</v>
      </c>
      <c r="G38" s="264">
        <v>0</v>
      </c>
      <c r="H38" s="9">
        <f t="shared" si="5"/>
        <v>0</v>
      </c>
    </row>
    <row r="39" spans="1:8">
      <c r="A39" s="430"/>
      <c r="B39" s="253" t="s">
        <v>500</v>
      </c>
      <c r="C39" s="263">
        <v>0</v>
      </c>
      <c r="D39" s="9">
        <f t="shared" si="3"/>
        <v>0</v>
      </c>
      <c r="E39" s="254"/>
      <c r="F39" s="9">
        <f t="shared" si="4"/>
        <v>0</v>
      </c>
      <c r="G39" s="264">
        <v>0</v>
      </c>
      <c r="H39" s="9">
        <f t="shared" si="5"/>
        <v>0</v>
      </c>
    </row>
    <row r="40" spans="1:8">
      <c r="A40" s="430"/>
      <c r="B40" s="253" t="s">
        <v>501</v>
      </c>
      <c r="C40" s="263">
        <v>0</v>
      </c>
      <c r="D40" s="9">
        <f t="shared" si="3"/>
        <v>0</v>
      </c>
      <c r="E40" s="254"/>
      <c r="F40" s="9">
        <f t="shared" si="4"/>
        <v>0</v>
      </c>
      <c r="G40" s="264">
        <v>0</v>
      </c>
      <c r="H40" s="9">
        <f t="shared" si="5"/>
        <v>0</v>
      </c>
    </row>
    <row r="41" spans="1:8">
      <c r="A41" s="413" t="s">
        <v>410</v>
      </c>
      <c r="B41" s="413"/>
      <c r="C41" s="413"/>
      <c r="D41" s="413"/>
      <c r="E41" s="413"/>
      <c r="F41" s="413"/>
      <c r="G41" s="413"/>
      <c r="H41" s="413"/>
    </row>
    <row r="43" spans="1:8" ht="18.75">
      <c r="A43" s="417" t="s">
        <v>586</v>
      </c>
      <c r="B43" s="418"/>
      <c r="C43" s="418"/>
      <c r="D43" s="418"/>
      <c r="E43" s="418"/>
      <c r="F43" s="418"/>
      <c r="G43" s="418"/>
      <c r="H43" s="419"/>
    </row>
    <row r="44" spans="1:8">
      <c r="A44" s="420" t="s">
        <v>0</v>
      </c>
      <c r="B44" s="274">
        <v>0.35</v>
      </c>
      <c r="C44" s="274">
        <f>B44+0.05</f>
        <v>0.39999999999999997</v>
      </c>
      <c r="D44" s="274">
        <f t="shared" ref="D44:G44" si="7">C44+0.05</f>
        <v>0.44999999999999996</v>
      </c>
      <c r="E44" s="274">
        <f t="shared" si="7"/>
        <v>0.49999999999999994</v>
      </c>
      <c r="F44" s="274">
        <f t="shared" si="7"/>
        <v>0.54999999999999993</v>
      </c>
      <c r="G44" s="274">
        <f t="shared" si="7"/>
        <v>0.6</v>
      </c>
      <c r="H44" s="274">
        <f>G44+0.05</f>
        <v>0.65</v>
      </c>
    </row>
    <row r="45" spans="1:8">
      <c r="A45" s="421"/>
      <c r="B45" s="268" t="s">
        <v>2</v>
      </c>
      <c r="C45" s="268" t="s">
        <v>3</v>
      </c>
      <c r="D45" s="268" t="s">
        <v>4</v>
      </c>
      <c r="E45" s="268" t="s">
        <v>5</v>
      </c>
      <c r="F45" s="268" t="s">
        <v>6</v>
      </c>
      <c r="G45" s="268" t="s">
        <v>169</v>
      </c>
      <c r="H45" s="268" t="s">
        <v>168</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22" t="s">
        <v>587</v>
      </c>
      <c r="B71" s="423"/>
      <c r="C71" s="423"/>
      <c r="D71" s="423"/>
      <c r="E71" s="423"/>
      <c r="F71" s="423"/>
      <c r="G71" s="423"/>
      <c r="H71" s="424"/>
    </row>
    <row r="72" spans="1:8">
      <c r="A72" s="425" t="s">
        <v>0</v>
      </c>
      <c r="B72" s="275">
        <v>0.05</v>
      </c>
      <c r="C72" s="275">
        <f>B72+0.05</f>
        <v>0.1</v>
      </c>
      <c r="D72" s="275">
        <f t="shared" ref="D72:G72" si="26">C72+0.05</f>
        <v>0.15000000000000002</v>
      </c>
      <c r="E72" s="275">
        <f t="shared" si="26"/>
        <v>0.2</v>
      </c>
      <c r="F72" s="275">
        <f t="shared" si="26"/>
        <v>0.25</v>
      </c>
      <c r="G72" s="275">
        <f t="shared" si="26"/>
        <v>0.3</v>
      </c>
      <c r="H72" s="275">
        <f>G72+0.05</f>
        <v>0.35</v>
      </c>
    </row>
    <row r="73" spans="1:8">
      <c r="A73" s="426"/>
      <c r="B73" s="268" t="s">
        <v>2</v>
      </c>
      <c r="C73" s="268" t="s">
        <v>3</v>
      </c>
      <c r="D73" s="268" t="s">
        <v>4</v>
      </c>
      <c r="E73" s="268" t="s">
        <v>5</v>
      </c>
      <c r="F73" s="268" t="s">
        <v>6</v>
      </c>
      <c r="G73" s="268" t="s">
        <v>169</v>
      </c>
      <c r="H73" s="268" t="s">
        <v>168</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22" t="s">
        <v>588</v>
      </c>
      <c r="B99" s="423"/>
      <c r="C99" s="423"/>
      <c r="D99" s="423"/>
      <c r="E99" s="423"/>
      <c r="F99" s="423"/>
      <c r="G99" s="423"/>
      <c r="H99" s="424"/>
    </row>
    <row r="100" spans="1:8">
      <c r="A100" s="411" t="s">
        <v>0</v>
      </c>
      <c r="B100" s="293">
        <v>0.65</v>
      </c>
      <c r="C100" s="294">
        <f>B100+0.05</f>
        <v>0.70000000000000007</v>
      </c>
      <c r="D100" s="294">
        <f t="shared" ref="D100:G100" si="45">C100+0.05</f>
        <v>0.75000000000000011</v>
      </c>
      <c r="E100" s="294">
        <f t="shared" si="45"/>
        <v>0.80000000000000016</v>
      </c>
      <c r="F100" s="294">
        <f t="shared" si="45"/>
        <v>0.8500000000000002</v>
      </c>
      <c r="G100" s="294">
        <f t="shared" si="45"/>
        <v>0.90000000000000024</v>
      </c>
      <c r="H100" s="294">
        <f>G100+0.05</f>
        <v>0.95000000000000029</v>
      </c>
    </row>
    <row r="101" spans="1:8">
      <c r="A101" s="412"/>
      <c r="B101" s="268" t="s">
        <v>2</v>
      </c>
      <c r="C101" s="268" t="s">
        <v>3</v>
      </c>
      <c r="D101" s="268" t="s">
        <v>4</v>
      </c>
      <c r="E101" s="268" t="s">
        <v>5</v>
      </c>
      <c r="F101" s="268" t="s">
        <v>6</v>
      </c>
      <c r="G101" s="268" t="s">
        <v>169</v>
      </c>
      <c r="H101" s="268" t="s">
        <v>168</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551</v>
      </c>
      <c r="C129" s="13"/>
      <c r="D129" s="13"/>
      <c r="E129" s="13"/>
      <c r="F129" s="13"/>
      <c r="G129" s="13"/>
      <c r="H129" s="13"/>
      <c r="I129" s="13"/>
    </row>
    <row r="130" spans="1:9">
      <c r="A130">
        <v>1</v>
      </c>
      <c r="B130" t="s">
        <v>552</v>
      </c>
    </row>
    <row r="131" spans="1:9">
      <c r="A131">
        <v>2</v>
      </c>
      <c r="B131" t="s">
        <v>553</v>
      </c>
    </row>
    <row r="132" spans="1:9">
      <c r="A132">
        <v>3</v>
      </c>
      <c r="B132" t="s">
        <v>554</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6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zoomScale="80" zoomScaleSheetLayoutView="80" workbookViewId="0"/>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62" t="s">
        <v>589</v>
      </c>
      <c r="B2" s="362"/>
      <c r="C2" s="362"/>
      <c r="D2" s="362"/>
      <c r="E2" s="362"/>
      <c r="F2" s="362"/>
      <c r="G2" s="362"/>
      <c r="H2" s="362"/>
    </row>
    <row r="3" spans="1:8" ht="18.75">
      <c r="A3" s="362" t="s">
        <v>590</v>
      </c>
      <c r="B3" s="362"/>
      <c r="C3" s="362"/>
      <c r="D3" s="362"/>
      <c r="E3" s="362"/>
      <c r="F3" s="362"/>
      <c r="G3" s="362"/>
      <c r="H3" s="362"/>
    </row>
    <row r="4" spans="1:8">
      <c r="B4" s="76"/>
      <c r="C4" s="76"/>
      <c r="D4" s="76"/>
      <c r="E4" s="76"/>
      <c r="F4" s="364" t="s">
        <v>480</v>
      </c>
      <c r="G4" s="364"/>
      <c r="H4" s="364"/>
    </row>
    <row r="5" spans="1:8">
      <c r="A5" s="76" t="s">
        <v>161</v>
      </c>
      <c r="B5" s="218">
        <v>20</v>
      </c>
      <c r="C5" s="76" t="s">
        <v>457</v>
      </c>
      <c r="D5" s="76"/>
      <c r="E5" s="76"/>
      <c r="F5" s="257" t="s">
        <v>481</v>
      </c>
      <c r="G5" s="257" t="s">
        <v>482</v>
      </c>
      <c r="H5" s="76"/>
    </row>
    <row r="6" spans="1:8">
      <c r="A6" s="76" t="s">
        <v>162</v>
      </c>
      <c r="B6" s="247">
        <v>8</v>
      </c>
      <c r="C6" s="76"/>
      <c r="D6" s="76"/>
      <c r="E6" s="76"/>
      <c r="F6" s="9" t="s">
        <v>478</v>
      </c>
      <c r="G6" s="276">
        <v>0.03</v>
      </c>
      <c r="H6" s="76"/>
    </row>
    <row r="7" spans="1:8">
      <c r="A7" s="76"/>
      <c r="B7" s="76"/>
      <c r="C7" s="76"/>
      <c r="D7" s="76"/>
      <c r="E7" s="76"/>
      <c r="F7" s="9" t="s">
        <v>479</v>
      </c>
      <c r="G7" s="276">
        <v>0.05</v>
      </c>
      <c r="H7" s="76"/>
    </row>
    <row r="8" spans="1:8">
      <c r="A8" s="76" t="s">
        <v>525</v>
      </c>
      <c r="B8" s="76">
        <v>300</v>
      </c>
      <c r="C8" s="76"/>
      <c r="D8" s="76"/>
      <c r="E8" s="76"/>
      <c r="F8" s="9"/>
      <c r="G8" s="276"/>
      <c r="H8" s="76"/>
    </row>
    <row r="9" spans="1:8">
      <c r="A9" s="128" t="s">
        <v>0</v>
      </c>
      <c r="B9" s="100" t="s">
        <v>2</v>
      </c>
      <c r="C9" s="100" t="s">
        <v>3</v>
      </c>
      <c r="D9" s="100" t="s">
        <v>4</v>
      </c>
      <c r="E9" s="100" t="s">
        <v>5</v>
      </c>
      <c r="F9" s="100" t="s">
        <v>6</v>
      </c>
      <c r="G9" s="100" t="s">
        <v>169</v>
      </c>
      <c r="H9" s="100" t="s">
        <v>168</v>
      </c>
    </row>
    <row r="10" spans="1:8">
      <c r="A10" s="77" t="s">
        <v>456</v>
      </c>
      <c r="B10" s="165">
        <f>B33/($B$5*$B$6)</f>
        <v>2.5262903125E-6</v>
      </c>
      <c r="C10" s="165">
        <f t="shared" ref="C10:H10" si="0">C33/($B$5*$B$6)</f>
        <v>2.5262903125E-6</v>
      </c>
      <c r="D10" s="165">
        <f t="shared" si="0"/>
        <v>2.5262903125E-6</v>
      </c>
      <c r="E10" s="165">
        <f t="shared" si="0"/>
        <v>2.5262903125E-6</v>
      </c>
      <c r="F10" s="165">
        <f t="shared" si="0"/>
        <v>2.5262903125E-6</v>
      </c>
      <c r="G10" s="165">
        <f t="shared" si="0"/>
        <v>2.5262903125E-6</v>
      </c>
      <c r="H10" s="165">
        <f t="shared" si="0"/>
        <v>2.5262903125E-6</v>
      </c>
    </row>
    <row r="11" spans="1:8">
      <c r="A11" s="172" t="str">
        <f>'10.Grain Production details'!A42</f>
        <v>Soybean</v>
      </c>
      <c r="B11" s="172">
        <f>'10.Grain Production details'!B42</f>
        <v>0</v>
      </c>
      <c r="C11" s="172">
        <f>'10.Grain Production details'!C42</f>
        <v>0</v>
      </c>
      <c r="D11" s="172">
        <f>'10.Grain Production details'!D42</f>
        <v>0</v>
      </c>
      <c r="E11" s="172">
        <f>'10.Grain Production details'!E42</f>
        <v>0</v>
      </c>
      <c r="F11" s="172">
        <f>'10.Grain Production details'!F42</f>
        <v>0</v>
      </c>
      <c r="G11" s="172">
        <f>'10.Grain Production details'!G42</f>
        <v>0</v>
      </c>
      <c r="H11" s="172">
        <f>'10.Grain Production details'!H42</f>
        <v>0</v>
      </c>
    </row>
    <row r="12" spans="1:8">
      <c r="A12" s="172" t="str">
        <f>'10.Grain Production details'!A43</f>
        <v>Red Gram/Tur</v>
      </c>
      <c r="B12" s="172">
        <f>'10.Grain Production details'!B43</f>
        <v>7.2917250000000011E-5</v>
      </c>
      <c r="C12" s="172">
        <f>'10.Grain Production details'!C43</f>
        <v>7.2917250000000011E-5</v>
      </c>
      <c r="D12" s="172">
        <f>'10.Grain Production details'!D43</f>
        <v>7.2917250000000011E-5</v>
      </c>
      <c r="E12" s="172">
        <f>'10.Grain Production details'!E43</f>
        <v>7.2917250000000011E-5</v>
      </c>
      <c r="F12" s="172">
        <f>'10.Grain Production details'!F43</f>
        <v>7.2917250000000011E-5</v>
      </c>
      <c r="G12" s="172">
        <f>'10.Grain Production details'!G43</f>
        <v>7.2917250000000011E-5</v>
      </c>
      <c r="H12" s="172">
        <f>'10.Grain Production details'!H43</f>
        <v>7.2917250000000011E-5</v>
      </c>
    </row>
    <row r="13" spans="1:8">
      <c r="A13" s="172" t="str">
        <f>'10.Grain Production details'!A44</f>
        <v>Paddy/Rice</v>
      </c>
      <c r="B13" s="172">
        <f>'10.Grain Production details'!B44</f>
        <v>0</v>
      </c>
      <c r="C13" s="172">
        <f>'10.Grain Production details'!C44</f>
        <v>0</v>
      </c>
      <c r="D13" s="172">
        <f>'10.Grain Production details'!D44</f>
        <v>0</v>
      </c>
      <c r="E13" s="172">
        <f>'10.Grain Production details'!E44</f>
        <v>0</v>
      </c>
      <c r="F13" s="172">
        <f>'10.Grain Production details'!F44</f>
        <v>0</v>
      </c>
      <c r="G13" s="172">
        <f>'10.Grain Production details'!G44</f>
        <v>0</v>
      </c>
      <c r="H13" s="172">
        <f>'10.Grain Production details'!H44</f>
        <v>0</v>
      </c>
    </row>
    <row r="14" spans="1:8">
      <c r="A14" s="172" t="str">
        <f>'10.Grain Production details'!A45</f>
        <v>Green Gram/ Moong</v>
      </c>
      <c r="B14" s="172">
        <f>'10.Grain Production details'!B45</f>
        <v>1.002932E-4</v>
      </c>
      <c r="C14" s="172">
        <f>'10.Grain Production details'!C45</f>
        <v>1.002932E-4</v>
      </c>
      <c r="D14" s="172">
        <f>'10.Grain Production details'!D45</f>
        <v>1.002932E-4</v>
      </c>
      <c r="E14" s="172">
        <f>'10.Grain Production details'!E45</f>
        <v>1.002932E-4</v>
      </c>
      <c r="F14" s="172">
        <f>'10.Grain Production details'!F45</f>
        <v>1.002932E-4</v>
      </c>
      <c r="G14" s="172">
        <f>'10.Grain Production details'!G45</f>
        <v>1.002932E-4</v>
      </c>
      <c r="H14" s="172">
        <f>'10.Grain Production details'!H45</f>
        <v>1.002932E-4</v>
      </c>
    </row>
    <row r="15" spans="1:8">
      <c r="A15" s="172" t="str">
        <f>'10.Grain Production details'!A46</f>
        <v>Maize</v>
      </c>
      <c r="B15" s="172">
        <f>'10.Grain Production details'!B46</f>
        <v>0</v>
      </c>
      <c r="C15" s="172">
        <f>'10.Grain Production details'!C46</f>
        <v>0</v>
      </c>
      <c r="D15" s="172">
        <f>'10.Grain Production details'!D46</f>
        <v>0</v>
      </c>
      <c r="E15" s="172">
        <f>'10.Grain Production details'!E46</f>
        <v>0</v>
      </c>
      <c r="F15" s="172">
        <f>'10.Grain Production details'!F46</f>
        <v>0</v>
      </c>
      <c r="G15" s="172">
        <f>'10.Grain Production details'!G46</f>
        <v>0</v>
      </c>
      <c r="H15" s="172">
        <f>'10.Grain Production details'!H46</f>
        <v>0</v>
      </c>
    </row>
    <row r="16" spans="1:8">
      <c r="A16" s="172" t="str">
        <f>'10.Grain Production details'!A47</f>
        <v>Black Gram/Udid</v>
      </c>
      <c r="B16" s="172">
        <f>'10.Grain Production details'!B47</f>
        <v>9.2106000000000002E-5</v>
      </c>
      <c r="C16" s="172">
        <f>'10.Grain Production details'!C47</f>
        <v>9.2106000000000002E-5</v>
      </c>
      <c r="D16" s="172">
        <f>'10.Grain Production details'!D47</f>
        <v>9.2106000000000002E-5</v>
      </c>
      <c r="E16" s="172">
        <f>'10.Grain Production details'!E47</f>
        <v>9.2106000000000002E-5</v>
      </c>
      <c r="F16" s="172">
        <f>'10.Grain Production details'!F47</f>
        <v>9.2106000000000002E-5</v>
      </c>
      <c r="G16" s="172">
        <f>'10.Grain Production details'!G47</f>
        <v>9.2106000000000002E-5</v>
      </c>
      <c r="H16" s="172">
        <f>'10.Grain Production details'!H47</f>
        <v>9.2106000000000002E-5</v>
      </c>
    </row>
    <row r="17" spans="1:8">
      <c r="A17" s="172" t="str">
        <f>'10.Grain Production details'!A48</f>
        <v>Bajra</v>
      </c>
      <c r="B17" s="172">
        <f>'10.Grain Production details'!B48</f>
        <v>0</v>
      </c>
      <c r="C17" s="172">
        <f>'10.Grain Production details'!C48</f>
        <v>0</v>
      </c>
      <c r="D17" s="172">
        <f>'10.Grain Production details'!D48</f>
        <v>0</v>
      </c>
      <c r="E17" s="172">
        <f>'10.Grain Production details'!E48</f>
        <v>0</v>
      </c>
      <c r="F17" s="172">
        <f>'10.Grain Production details'!F48</f>
        <v>0</v>
      </c>
      <c r="G17" s="172">
        <f>'10.Grain Production details'!G48</f>
        <v>0</v>
      </c>
      <c r="H17" s="172">
        <f>'10.Grain Production details'!H48</f>
        <v>0</v>
      </c>
    </row>
    <row r="18" spans="1:8">
      <c r="A18" s="172" t="str">
        <f>'10.Grain Production details'!A49</f>
        <v>Jawar</v>
      </c>
      <c r="B18" s="172">
        <f>'10.Grain Production details'!B49</f>
        <v>0</v>
      </c>
      <c r="C18" s="172">
        <f>'10.Grain Production details'!C49</f>
        <v>0</v>
      </c>
      <c r="D18" s="172">
        <f>'10.Grain Production details'!D49</f>
        <v>0</v>
      </c>
      <c r="E18" s="172">
        <f>'10.Grain Production details'!E49</f>
        <v>0</v>
      </c>
      <c r="F18" s="172">
        <f>'10.Grain Production details'!F49</f>
        <v>0</v>
      </c>
      <c r="G18" s="172">
        <f>'10.Grain Production details'!G49</f>
        <v>0</v>
      </c>
      <c r="H18" s="172">
        <f>'10.Grain Production details'!H49</f>
        <v>0</v>
      </c>
    </row>
    <row r="19" spans="1:8">
      <c r="A19" s="172" t="str">
        <f>'10.Grain Production details'!A50</f>
        <v>Sunflower</v>
      </c>
      <c r="B19" s="172">
        <f>'10.Grain Production details'!B50</f>
        <v>0</v>
      </c>
      <c r="C19" s="172">
        <f>'10.Grain Production details'!C50</f>
        <v>0</v>
      </c>
      <c r="D19" s="172">
        <f>'10.Grain Production details'!D50</f>
        <v>0</v>
      </c>
      <c r="E19" s="172">
        <f>'10.Grain Production details'!E50</f>
        <v>0</v>
      </c>
      <c r="F19" s="172">
        <f>'10.Grain Production details'!F50</f>
        <v>0</v>
      </c>
      <c r="G19" s="172">
        <f>'10.Grain Production details'!G50</f>
        <v>0</v>
      </c>
      <c r="H19" s="172">
        <f>'10.Grain Production details'!H50</f>
        <v>0</v>
      </c>
    </row>
    <row r="20" spans="1:8">
      <c r="A20" s="172" t="str">
        <f>'10.Grain Production details'!A51</f>
        <v>Wheat</v>
      </c>
      <c r="B20" s="172">
        <f>'10.Grain Production details'!B51</f>
        <v>0</v>
      </c>
      <c r="C20" s="172">
        <f>'10.Grain Production details'!C51</f>
        <v>0</v>
      </c>
      <c r="D20" s="172">
        <f>'10.Grain Production details'!D51</f>
        <v>0</v>
      </c>
      <c r="E20" s="172">
        <f>'10.Grain Production details'!E51</f>
        <v>0</v>
      </c>
      <c r="F20" s="172">
        <f>'10.Grain Production details'!F51</f>
        <v>0</v>
      </c>
      <c r="G20" s="172">
        <f>'10.Grain Production details'!G51</f>
        <v>0</v>
      </c>
      <c r="H20" s="172">
        <f>'10.Grain Production details'!H51</f>
        <v>0</v>
      </c>
    </row>
    <row r="21" spans="1:8">
      <c r="A21" s="172" t="str">
        <f>'10.Grain Production details'!A52</f>
        <v>Bengal Gram/Channa</v>
      </c>
      <c r="B21" s="172">
        <f>'10.Grain Production details'!B52</f>
        <v>1.3888999999999999E-4</v>
      </c>
      <c r="C21" s="172">
        <f>'10.Grain Production details'!C52</f>
        <v>1.3888999999999999E-4</v>
      </c>
      <c r="D21" s="172">
        <f>'10.Grain Production details'!D52</f>
        <v>1.3888999999999999E-4</v>
      </c>
      <c r="E21" s="172">
        <f>'10.Grain Production details'!E52</f>
        <v>1.3888999999999999E-4</v>
      </c>
      <c r="F21" s="172">
        <f>'10.Grain Production details'!F52</f>
        <v>1.3888999999999999E-4</v>
      </c>
      <c r="G21" s="172">
        <f>'10.Grain Production details'!G52</f>
        <v>1.3888999999999999E-4</v>
      </c>
      <c r="H21" s="172">
        <f>'10.Grain Production details'!H52</f>
        <v>1.3888999999999999E-4</v>
      </c>
    </row>
    <row r="22" spans="1:8">
      <c r="A22" s="172" t="str">
        <f>'10.Grain Production details'!A53</f>
        <v>Jawar</v>
      </c>
      <c r="B22" s="172">
        <f>'10.Grain Production details'!B53</f>
        <v>0</v>
      </c>
      <c r="C22" s="172">
        <f>'10.Grain Production details'!C53</f>
        <v>0</v>
      </c>
      <c r="D22" s="172">
        <f>'10.Grain Production details'!D53</f>
        <v>0</v>
      </c>
      <c r="E22" s="172">
        <f>'10.Grain Production details'!E53</f>
        <v>0</v>
      </c>
      <c r="F22" s="172">
        <f>'10.Grain Production details'!F53</f>
        <v>0</v>
      </c>
      <c r="G22" s="172">
        <f>'10.Grain Production details'!G53</f>
        <v>0</v>
      </c>
      <c r="H22" s="172">
        <f>'10.Grain Production details'!H53</f>
        <v>0</v>
      </c>
    </row>
    <row r="23" spans="1:8">
      <c r="A23" s="172" t="str">
        <f>'10.Grain Production details'!A54</f>
        <v>Maize</v>
      </c>
      <c r="B23" s="172">
        <f>'10.Grain Production details'!B54</f>
        <v>0</v>
      </c>
      <c r="C23" s="172">
        <f>'10.Grain Production details'!C54</f>
        <v>0</v>
      </c>
      <c r="D23" s="172">
        <f>'10.Grain Production details'!D54</f>
        <v>0</v>
      </c>
      <c r="E23" s="172">
        <f>'10.Grain Production details'!E54</f>
        <v>0</v>
      </c>
      <c r="F23" s="172">
        <f>'10.Grain Production details'!F54</f>
        <v>0</v>
      </c>
      <c r="G23" s="172">
        <f>'10.Grain Production details'!G54</f>
        <v>0</v>
      </c>
      <c r="H23" s="172">
        <f>'10.Grain Production details'!H54</f>
        <v>0</v>
      </c>
    </row>
    <row r="24" spans="1:8">
      <c r="A24" s="172" t="str">
        <f>'10.Grain Production details'!A55</f>
        <v>Safflower</v>
      </c>
      <c r="B24" s="172">
        <f>'10.Grain Production details'!B55</f>
        <v>0</v>
      </c>
      <c r="C24" s="172">
        <f>'10.Grain Production details'!C55</f>
        <v>0</v>
      </c>
      <c r="D24" s="172">
        <f>'10.Grain Production details'!D55</f>
        <v>0</v>
      </c>
      <c r="E24" s="172">
        <f>'10.Grain Production details'!E55</f>
        <v>0</v>
      </c>
      <c r="F24" s="172">
        <f>'10.Grain Production details'!F55</f>
        <v>0</v>
      </c>
      <c r="G24" s="172">
        <f>'10.Grain Production details'!G55</f>
        <v>0</v>
      </c>
      <c r="H24" s="172">
        <f>'10.Grain Production details'!H55</f>
        <v>0</v>
      </c>
    </row>
    <row r="25" spans="1:8">
      <c r="A25" s="172">
        <f>'10.Grain Production details'!A56</f>
        <v>0</v>
      </c>
      <c r="B25" s="172">
        <f>'10.Grain Production details'!B56</f>
        <v>0</v>
      </c>
      <c r="C25" s="172">
        <f>'10.Grain Production details'!C56</f>
        <v>0</v>
      </c>
      <c r="D25" s="172">
        <f>'10.Grain Production details'!D56</f>
        <v>0</v>
      </c>
      <c r="E25" s="172">
        <f>'10.Grain Production details'!E56</f>
        <v>0</v>
      </c>
      <c r="F25" s="172">
        <f>'10.Grain Production details'!F56</f>
        <v>0</v>
      </c>
      <c r="G25" s="172">
        <f>'10.Grain Production details'!G56</f>
        <v>0</v>
      </c>
      <c r="H25" s="172">
        <f>'10.Grain Production details'!H56</f>
        <v>0</v>
      </c>
    </row>
    <row r="26" spans="1:8">
      <c r="A26" s="172">
        <f>'10.Grain Production details'!A57</f>
        <v>0</v>
      </c>
      <c r="B26" s="172">
        <f>'10.Grain Production details'!B57</f>
        <v>0</v>
      </c>
      <c r="C26" s="172">
        <f>'10.Grain Production details'!C57</f>
        <v>0</v>
      </c>
      <c r="D26" s="172">
        <f>'10.Grain Production details'!D57</f>
        <v>0</v>
      </c>
      <c r="E26" s="172">
        <f>'10.Grain Production details'!E57</f>
        <v>0</v>
      </c>
      <c r="F26" s="172">
        <f>'10.Grain Production details'!F57</f>
        <v>0</v>
      </c>
      <c r="G26" s="172">
        <f>'10.Grain Production details'!G57</f>
        <v>0</v>
      </c>
      <c r="H26" s="172">
        <f>'10.Grain Production details'!H57</f>
        <v>0</v>
      </c>
    </row>
    <row r="27" spans="1:8">
      <c r="A27" s="172">
        <f>'10.Grain Production details'!A58</f>
        <v>0</v>
      </c>
      <c r="B27" s="172">
        <f>'10.Grain Production details'!B58</f>
        <v>0</v>
      </c>
      <c r="C27" s="172">
        <f>'10.Grain Production details'!C58</f>
        <v>0</v>
      </c>
      <c r="D27" s="172">
        <f>'10.Grain Production details'!D58</f>
        <v>0</v>
      </c>
      <c r="E27" s="172">
        <f>'10.Grain Production details'!E58</f>
        <v>0</v>
      </c>
      <c r="F27" s="172">
        <f>'10.Grain Production details'!F58</f>
        <v>0</v>
      </c>
      <c r="G27" s="172">
        <f>'10.Grain Production details'!G58</f>
        <v>0</v>
      </c>
      <c r="H27" s="172">
        <f>'10.Grain Production details'!H58</f>
        <v>0</v>
      </c>
    </row>
    <row r="28" spans="1:8">
      <c r="A28" s="172" t="str">
        <f>'10.Grain Production details'!A59</f>
        <v>Groundnut</v>
      </c>
      <c r="B28" s="172">
        <f>'10.Grain Production details'!B59</f>
        <v>0</v>
      </c>
      <c r="C28" s="172">
        <f>'10.Grain Production details'!C59</f>
        <v>0</v>
      </c>
      <c r="D28" s="172">
        <f>'10.Grain Production details'!D59</f>
        <v>0</v>
      </c>
      <c r="E28" s="172">
        <f>'10.Grain Production details'!E59</f>
        <v>0</v>
      </c>
      <c r="F28" s="172">
        <f>'10.Grain Production details'!F59</f>
        <v>0</v>
      </c>
      <c r="G28" s="172">
        <f>'10.Grain Production details'!G59</f>
        <v>0</v>
      </c>
      <c r="H28" s="172">
        <f>'10.Grain Production details'!H59</f>
        <v>0</v>
      </c>
    </row>
    <row r="29" spans="1:8">
      <c r="A29" s="172">
        <f>'10.Grain Production details'!A60</f>
        <v>0</v>
      </c>
      <c r="B29" s="172">
        <f>'10.Grain Production details'!B60</f>
        <v>0</v>
      </c>
      <c r="C29" s="172">
        <f>'10.Grain Production details'!C60</f>
        <v>0</v>
      </c>
      <c r="D29" s="172">
        <f>'10.Grain Production details'!D60</f>
        <v>0</v>
      </c>
      <c r="E29" s="172">
        <f>'10.Grain Production details'!E60</f>
        <v>0</v>
      </c>
      <c r="F29" s="172">
        <f>'10.Grain Production details'!F60</f>
        <v>0</v>
      </c>
      <c r="G29" s="172">
        <f>'10.Grain Production details'!G60</f>
        <v>0</v>
      </c>
      <c r="H29" s="172">
        <f>'10.Grain Production details'!H60</f>
        <v>0</v>
      </c>
    </row>
    <row r="30" spans="1:8">
      <c r="A30" s="172">
        <f>'10.Grain Production details'!A61</f>
        <v>0</v>
      </c>
      <c r="B30" s="172">
        <f>'10.Grain Production details'!B61</f>
        <v>0</v>
      </c>
      <c r="C30" s="172">
        <f>'10.Grain Production details'!C61</f>
        <v>0</v>
      </c>
      <c r="D30" s="172">
        <f>'10.Grain Production details'!D61</f>
        <v>0</v>
      </c>
      <c r="E30" s="172">
        <f>'10.Grain Production details'!E61</f>
        <v>0</v>
      </c>
      <c r="F30" s="172">
        <f>'10.Grain Production details'!F61</f>
        <v>0</v>
      </c>
      <c r="G30" s="172">
        <f>'10.Grain Production details'!G61</f>
        <v>0</v>
      </c>
      <c r="H30" s="172">
        <f>'10.Grain Production details'!H61</f>
        <v>0</v>
      </c>
    </row>
    <row r="31" spans="1:8">
      <c r="A31" s="172">
        <f>'10.Grain Production details'!A62</f>
        <v>0</v>
      </c>
      <c r="B31" s="172">
        <f>'10.Grain Production details'!B62</f>
        <v>0</v>
      </c>
      <c r="C31" s="172">
        <f>'10.Grain Production details'!C62</f>
        <v>0</v>
      </c>
      <c r="D31" s="172">
        <f>'10.Grain Production details'!D62</f>
        <v>0</v>
      </c>
      <c r="E31" s="172">
        <f>'10.Grain Production details'!E62</f>
        <v>0</v>
      </c>
      <c r="F31" s="172">
        <f>'10.Grain Production details'!F62</f>
        <v>0</v>
      </c>
      <c r="G31" s="172">
        <f>'10.Grain Production details'!G62</f>
        <v>0</v>
      </c>
      <c r="H31" s="172">
        <f>'10.Grain Production details'!H62</f>
        <v>0</v>
      </c>
    </row>
    <row r="32" spans="1:8">
      <c r="A32" s="172">
        <f>'10.Grain Production details'!B63</f>
        <v>0</v>
      </c>
      <c r="B32" s="172">
        <f>'10.Grain Production details'!C63</f>
        <v>0</v>
      </c>
      <c r="C32" s="172">
        <f>'10.Grain Production details'!D63</f>
        <v>0</v>
      </c>
      <c r="D32" s="172">
        <f>'10.Grain Production details'!E63</f>
        <v>0</v>
      </c>
      <c r="E32" s="172">
        <f>'10.Grain Production details'!F63</f>
        <v>0</v>
      </c>
      <c r="F32" s="172">
        <f>'10.Grain Production details'!G63</f>
        <v>0</v>
      </c>
      <c r="G32" s="172">
        <f>'10.Grain Production details'!H63</f>
        <v>0</v>
      </c>
      <c r="H32" s="172">
        <f>'10.Grain Production details'!I63</f>
        <v>0</v>
      </c>
    </row>
    <row r="33" spans="1:8">
      <c r="A33" s="79" t="s">
        <v>522</v>
      </c>
      <c r="B33" s="172">
        <f t="shared" ref="B33:H33" si="1">SUM(B11:B32)</f>
        <v>4.0420644999999999E-4</v>
      </c>
      <c r="C33" s="172">
        <f t="shared" si="1"/>
        <v>4.0420644999999999E-4</v>
      </c>
      <c r="D33" s="172">
        <f t="shared" si="1"/>
        <v>4.0420644999999999E-4</v>
      </c>
      <c r="E33" s="172">
        <f t="shared" si="1"/>
        <v>4.0420644999999999E-4</v>
      </c>
      <c r="F33" s="172">
        <f t="shared" si="1"/>
        <v>4.0420644999999999E-4</v>
      </c>
      <c r="G33" s="172">
        <f t="shared" si="1"/>
        <v>4.0420644999999999E-4</v>
      </c>
      <c r="H33" s="172">
        <f t="shared" si="1"/>
        <v>4.0420644999999999E-4</v>
      </c>
    </row>
    <row r="34" spans="1:8">
      <c r="A34" s="172" t="str">
        <f>'11.F&amp;V Crop Production details'!A1:H1</f>
        <v>Fruit  &amp; Vegetables Crop Production Details</v>
      </c>
      <c r="B34" s="172"/>
      <c r="C34" s="172"/>
      <c r="D34" s="172"/>
      <c r="E34" s="172"/>
      <c r="F34" s="172"/>
      <c r="G34" s="172"/>
      <c r="H34" s="172"/>
    </row>
    <row r="35" spans="1:8">
      <c r="A35" s="172" t="str">
        <f>'11.F&amp;V Crop Production details'!A46</f>
        <v>Onion</v>
      </c>
      <c r="B35" s="172">
        <f>'11.F&amp;V Crop Production details'!B46</f>
        <v>0</v>
      </c>
      <c r="C35" s="172">
        <f>'11.F&amp;V Crop Production details'!C46</f>
        <v>0</v>
      </c>
      <c r="D35" s="172">
        <f>'11.F&amp;V Crop Production details'!D46</f>
        <v>0</v>
      </c>
      <c r="E35" s="172">
        <f>'11.F&amp;V Crop Production details'!E46</f>
        <v>0</v>
      </c>
      <c r="F35" s="172">
        <f>'11.F&amp;V Crop Production details'!F46</f>
        <v>0</v>
      </c>
      <c r="G35" s="172">
        <f>'11.F&amp;V Crop Production details'!G46</f>
        <v>0</v>
      </c>
      <c r="H35" s="172">
        <f>'11.F&amp;V Crop Production details'!H46</f>
        <v>0</v>
      </c>
    </row>
    <row r="36" spans="1:8">
      <c r="A36" s="172" t="str">
        <f>'11.F&amp;V Crop Production details'!A47</f>
        <v>Tomato</v>
      </c>
      <c r="B36" s="172">
        <f>'11.F&amp;V Crop Production details'!B47</f>
        <v>0</v>
      </c>
      <c r="C36" s="172">
        <f>'11.F&amp;V Crop Production details'!C47</f>
        <v>0</v>
      </c>
      <c r="D36" s="172">
        <f>'11.F&amp;V Crop Production details'!D47</f>
        <v>0</v>
      </c>
      <c r="E36" s="172">
        <f>'11.F&amp;V Crop Production details'!E47</f>
        <v>0</v>
      </c>
      <c r="F36" s="172">
        <f>'11.F&amp;V Crop Production details'!F47</f>
        <v>0</v>
      </c>
      <c r="G36" s="172">
        <f>'11.F&amp;V Crop Production details'!G47</f>
        <v>0</v>
      </c>
      <c r="H36" s="172">
        <f>'11.F&amp;V Crop Production details'!H47</f>
        <v>0</v>
      </c>
    </row>
    <row r="37" spans="1:8">
      <c r="A37" s="172" t="str">
        <f>'11.F&amp;V Crop Production details'!A48</f>
        <v>Okra</v>
      </c>
      <c r="B37" s="172">
        <f>'11.F&amp;V Crop Production details'!B48</f>
        <v>0</v>
      </c>
      <c r="C37" s="172">
        <f>'11.F&amp;V Crop Production details'!C48</f>
        <v>0</v>
      </c>
      <c r="D37" s="172">
        <f>'11.F&amp;V Crop Production details'!D48</f>
        <v>0</v>
      </c>
      <c r="E37" s="172">
        <f>'11.F&amp;V Crop Production details'!E48</f>
        <v>0</v>
      </c>
      <c r="F37" s="172">
        <f>'11.F&amp;V Crop Production details'!F48</f>
        <v>0</v>
      </c>
      <c r="G37" s="172">
        <f>'11.F&amp;V Crop Production details'!G48</f>
        <v>0</v>
      </c>
      <c r="H37" s="172">
        <f>'11.F&amp;V Crop Production details'!H48</f>
        <v>0</v>
      </c>
    </row>
    <row r="38" spans="1:8">
      <c r="A38" s="172" t="str">
        <f>'11.F&amp;V Crop Production details'!A49</f>
        <v>Chilli</v>
      </c>
      <c r="B38" s="172">
        <f>'11.F&amp;V Crop Production details'!B49</f>
        <v>0</v>
      </c>
      <c r="C38" s="172">
        <f>'11.F&amp;V Crop Production details'!C49</f>
        <v>0</v>
      </c>
      <c r="D38" s="172">
        <f>'11.F&amp;V Crop Production details'!D49</f>
        <v>0</v>
      </c>
      <c r="E38" s="172">
        <f>'11.F&amp;V Crop Production details'!E49</f>
        <v>0</v>
      </c>
      <c r="F38" s="172">
        <f>'11.F&amp;V Crop Production details'!F49</f>
        <v>0</v>
      </c>
      <c r="G38" s="172">
        <f>'11.F&amp;V Crop Production details'!G49</f>
        <v>0</v>
      </c>
      <c r="H38" s="172">
        <f>'11.F&amp;V Crop Production details'!H49</f>
        <v>0</v>
      </c>
    </row>
    <row r="39" spans="1:8">
      <c r="A39" s="172" t="str">
        <f>'11.F&amp;V Crop Production details'!A50</f>
        <v>Potato</v>
      </c>
      <c r="B39" s="172">
        <f>'11.F&amp;V Crop Production details'!B50</f>
        <v>0</v>
      </c>
      <c r="C39" s="172">
        <f>'11.F&amp;V Crop Production details'!C50</f>
        <v>0</v>
      </c>
      <c r="D39" s="172">
        <f>'11.F&amp;V Crop Production details'!D50</f>
        <v>0</v>
      </c>
      <c r="E39" s="172">
        <f>'11.F&amp;V Crop Production details'!E50</f>
        <v>0</v>
      </c>
      <c r="F39" s="172">
        <f>'11.F&amp;V Crop Production details'!F50</f>
        <v>0</v>
      </c>
      <c r="G39" s="172">
        <f>'11.F&amp;V Crop Production details'!G50</f>
        <v>0</v>
      </c>
      <c r="H39" s="172">
        <f>'11.F&amp;V Crop Production details'!H50</f>
        <v>0</v>
      </c>
    </row>
    <row r="40" spans="1:8">
      <c r="A40" s="172">
        <f>'11.F&amp;V Crop Production details'!A51</f>
        <v>0</v>
      </c>
      <c r="B40" s="172">
        <f>'11.F&amp;V Crop Production details'!B51</f>
        <v>0</v>
      </c>
      <c r="C40" s="172">
        <f>'11.F&amp;V Crop Production details'!C51</f>
        <v>0</v>
      </c>
      <c r="D40" s="172">
        <f>'11.F&amp;V Crop Production details'!D51</f>
        <v>0</v>
      </c>
      <c r="E40" s="172">
        <f>'11.F&amp;V Crop Production details'!E51</f>
        <v>0</v>
      </c>
      <c r="F40" s="172">
        <f>'11.F&amp;V Crop Production details'!F51</f>
        <v>0</v>
      </c>
      <c r="G40" s="172">
        <f>'11.F&amp;V Crop Production details'!G51</f>
        <v>0</v>
      </c>
      <c r="H40" s="172">
        <f>'11.F&amp;V Crop Production details'!H51</f>
        <v>0</v>
      </c>
    </row>
    <row r="41" spans="1:8">
      <c r="A41" s="172">
        <f>'11.F&amp;V Crop Production details'!A52</f>
        <v>0</v>
      </c>
      <c r="B41" s="172">
        <f>'11.F&amp;V Crop Production details'!B52</f>
        <v>0</v>
      </c>
      <c r="C41" s="172">
        <f>'11.F&amp;V Crop Production details'!C52</f>
        <v>0</v>
      </c>
      <c r="D41" s="172">
        <f>'11.F&amp;V Crop Production details'!D52</f>
        <v>0</v>
      </c>
      <c r="E41" s="172">
        <f>'11.F&amp;V Crop Production details'!E52</f>
        <v>0</v>
      </c>
      <c r="F41" s="172">
        <f>'11.F&amp;V Crop Production details'!F52</f>
        <v>0</v>
      </c>
      <c r="G41" s="172">
        <f>'11.F&amp;V Crop Production details'!G52</f>
        <v>0</v>
      </c>
      <c r="H41" s="172">
        <f>'11.F&amp;V Crop Production details'!H52</f>
        <v>0</v>
      </c>
    </row>
    <row r="42" spans="1:8">
      <c r="A42" s="172">
        <f>'11.F&amp;V Crop Production details'!A53</f>
        <v>0</v>
      </c>
      <c r="B42" s="172">
        <f>'11.F&amp;V Crop Production details'!B53</f>
        <v>0</v>
      </c>
      <c r="C42" s="172">
        <f>'11.F&amp;V Crop Production details'!C53</f>
        <v>0</v>
      </c>
      <c r="D42" s="172">
        <f>'11.F&amp;V Crop Production details'!D53</f>
        <v>0</v>
      </c>
      <c r="E42" s="172">
        <f>'11.F&amp;V Crop Production details'!E53</f>
        <v>0</v>
      </c>
      <c r="F42" s="172">
        <f>'11.F&amp;V Crop Production details'!F53</f>
        <v>0</v>
      </c>
      <c r="G42" s="172">
        <f>'11.F&amp;V Crop Production details'!G53</f>
        <v>0</v>
      </c>
      <c r="H42" s="172">
        <f>'11.F&amp;V Crop Production details'!H53</f>
        <v>0</v>
      </c>
    </row>
    <row r="43" spans="1:8">
      <c r="A43" s="172">
        <f>'11.F&amp;V Crop Production details'!A54</f>
        <v>0</v>
      </c>
      <c r="B43" s="172">
        <f>'11.F&amp;V Crop Production details'!B54</f>
        <v>0</v>
      </c>
      <c r="C43" s="172">
        <f>'11.F&amp;V Crop Production details'!C54</f>
        <v>0</v>
      </c>
      <c r="D43" s="172">
        <f>'11.F&amp;V Crop Production details'!D54</f>
        <v>0</v>
      </c>
      <c r="E43" s="172">
        <f>'11.F&amp;V Crop Production details'!E54</f>
        <v>0</v>
      </c>
      <c r="F43" s="172">
        <f>'11.F&amp;V Crop Production details'!F54</f>
        <v>0</v>
      </c>
      <c r="G43" s="172">
        <f>'11.F&amp;V Crop Production details'!G54</f>
        <v>0</v>
      </c>
      <c r="H43" s="172">
        <f>'11.F&amp;V Crop Production details'!H54</f>
        <v>0</v>
      </c>
    </row>
    <row r="44" spans="1:8">
      <c r="A44" s="172" t="str">
        <f>'11.F&amp;V Crop Production details'!A55</f>
        <v>Onion</v>
      </c>
      <c r="B44" s="172">
        <f>'11.F&amp;V Crop Production details'!B55</f>
        <v>0</v>
      </c>
      <c r="C44" s="172">
        <f>'11.F&amp;V Crop Production details'!C55</f>
        <v>0</v>
      </c>
      <c r="D44" s="172">
        <f>'11.F&amp;V Crop Production details'!D55</f>
        <v>0</v>
      </c>
      <c r="E44" s="172">
        <f>'11.F&amp;V Crop Production details'!E55</f>
        <v>0</v>
      </c>
      <c r="F44" s="172">
        <f>'11.F&amp;V Crop Production details'!F55</f>
        <v>0</v>
      </c>
      <c r="G44" s="172">
        <f>'11.F&amp;V Crop Production details'!G55</f>
        <v>0</v>
      </c>
      <c r="H44" s="172">
        <f>'11.F&amp;V Crop Production details'!H55</f>
        <v>0</v>
      </c>
    </row>
    <row r="45" spans="1:8">
      <c r="A45" s="172" t="str">
        <f>'11.F&amp;V Crop Production details'!A56</f>
        <v>Tomato</v>
      </c>
      <c r="B45" s="172">
        <f>'11.F&amp;V Crop Production details'!B56</f>
        <v>0</v>
      </c>
      <c r="C45" s="172">
        <f>'11.F&amp;V Crop Production details'!C56</f>
        <v>0</v>
      </c>
      <c r="D45" s="172">
        <f>'11.F&amp;V Crop Production details'!D56</f>
        <v>0</v>
      </c>
      <c r="E45" s="172">
        <f>'11.F&amp;V Crop Production details'!E56</f>
        <v>0</v>
      </c>
      <c r="F45" s="172">
        <f>'11.F&amp;V Crop Production details'!F56</f>
        <v>0</v>
      </c>
      <c r="G45" s="172">
        <f>'11.F&amp;V Crop Production details'!G56</f>
        <v>0</v>
      </c>
      <c r="H45" s="172">
        <f>'11.F&amp;V Crop Production details'!H56</f>
        <v>0</v>
      </c>
    </row>
    <row r="46" spans="1:8">
      <c r="A46" s="172" t="str">
        <f>'11.F&amp;V Crop Production details'!A57</f>
        <v>Okra</v>
      </c>
      <c r="B46" s="172">
        <f>'11.F&amp;V Crop Production details'!B57</f>
        <v>0</v>
      </c>
      <c r="C46" s="172">
        <f>'11.F&amp;V Crop Production details'!C57</f>
        <v>0</v>
      </c>
      <c r="D46" s="172">
        <f>'11.F&amp;V Crop Production details'!D57</f>
        <v>0</v>
      </c>
      <c r="E46" s="172">
        <f>'11.F&amp;V Crop Production details'!E57</f>
        <v>0</v>
      </c>
      <c r="F46" s="172">
        <f>'11.F&amp;V Crop Production details'!F57</f>
        <v>0</v>
      </c>
      <c r="G46" s="172">
        <f>'11.F&amp;V Crop Production details'!G57</f>
        <v>0</v>
      </c>
      <c r="H46" s="172">
        <f>'11.F&amp;V Crop Production details'!H57</f>
        <v>0</v>
      </c>
    </row>
    <row r="47" spans="1:8">
      <c r="A47" s="172" t="str">
        <f>'11.F&amp;V Crop Production details'!A58</f>
        <v>Chilli</v>
      </c>
      <c r="B47" s="172">
        <f>'11.F&amp;V Crop Production details'!B58</f>
        <v>0</v>
      </c>
      <c r="C47" s="172">
        <f>'11.F&amp;V Crop Production details'!C58</f>
        <v>0</v>
      </c>
      <c r="D47" s="172">
        <f>'11.F&amp;V Crop Production details'!D58</f>
        <v>0</v>
      </c>
      <c r="E47" s="172">
        <f>'11.F&amp;V Crop Production details'!E58</f>
        <v>0</v>
      </c>
      <c r="F47" s="172">
        <f>'11.F&amp;V Crop Production details'!F58</f>
        <v>0</v>
      </c>
      <c r="G47" s="172">
        <f>'11.F&amp;V Crop Production details'!G58</f>
        <v>0</v>
      </c>
      <c r="H47" s="172">
        <f>'11.F&amp;V Crop Production details'!H58</f>
        <v>0</v>
      </c>
    </row>
    <row r="48" spans="1:8">
      <c r="A48" s="172" t="str">
        <f>'11.F&amp;V Crop Production details'!A59</f>
        <v>Brinjal</v>
      </c>
      <c r="B48" s="172">
        <f>'11.F&amp;V Crop Production details'!B59</f>
        <v>0</v>
      </c>
      <c r="C48" s="172">
        <f>'11.F&amp;V Crop Production details'!C59</f>
        <v>0</v>
      </c>
      <c r="D48" s="172">
        <f>'11.F&amp;V Crop Production details'!D59</f>
        <v>0</v>
      </c>
      <c r="E48" s="172">
        <f>'11.F&amp;V Crop Production details'!E59</f>
        <v>0</v>
      </c>
      <c r="F48" s="172">
        <f>'11.F&amp;V Crop Production details'!F59</f>
        <v>0</v>
      </c>
      <c r="G48" s="172">
        <f>'11.F&amp;V Crop Production details'!G59</f>
        <v>0</v>
      </c>
      <c r="H48" s="172">
        <f>'11.F&amp;V Crop Production details'!H59</f>
        <v>0</v>
      </c>
    </row>
    <row r="49" spans="1:8">
      <c r="A49" s="172">
        <f>'11.F&amp;V Crop Production details'!A60</f>
        <v>0</v>
      </c>
      <c r="B49" s="172">
        <f>'11.F&amp;V Crop Production details'!B60</f>
        <v>0</v>
      </c>
      <c r="C49" s="172">
        <f>'11.F&amp;V Crop Production details'!C60</f>
        <v>0</v>
      </c>
      <c r="D49" s="172">
        <f>'11.F&amp;V Crop Production details'!D60</f>
        <v>0</v>
      </c>
      <c r="E49" s="172">
        <f>'11.F&amp;V Crop Production details'!E60</f>
        <v>0</v>
      </c>
      <c r="F49" s="172">
        <f>'11.F&amp;V Crop Production details'!F60</f>
        <v>0</v>
      </c>
      <c r="G49" s="172">
        <f>'11.F&amp;V Crop Production details'!G60</f>
        <v>0</v>
      </c>
      <c r="H49" s="172">
        <f>'11.F&amp;V Crop Production details'!H60</f>
        <v>0</v>
      </c>
    </row>
    <row r="50" spans="1:8">
      <c r="A50" s="172">
        <f>'11.F&amp;V Crop Production details'!A61</f>
        <v>0</v>
      </c>
      <c r="B50" s="172">
        <f>'11.F&amp;V Crop Production details'!B61</f>
        <v>0</v>
      </c>
      <c r="C50" s="172">
        <f>'11.F&amp;V Crop Production details'!C61</f>
        <v>0</v>
      </c>
      <c r="D50" s="172">
        <f>'11.F&amp;V Crop Production details'!D61</f>
        <v>0</v>
      </c>
      <c r="E50" s="172">
        <f>'11.F&amp;V Crop Production details'!E61</f>
        <v>0</v>
      </c>
      <c r="F50" s="172">
        <f>'11.F&amp;V Crop Production details'!F61</f>
        <v>0</v>
      </c>
      <c r="G50" s="172">
        <f>'11.F&amp;V Crop Production details'!G61</f>
        <v>0</v>
      </c>
      <c r="H50" s="172">
        <f>'11.F&amp;V Crop Production details'!H61</f>
        <v>0</v>
      </c>
    </row>
    <row r="51" spans="1:8">
      <c r="A51" s="172">
        <f>'11.F&amp;V Crop Production details'!A62</f>
        <v>0</v>
      </c>
      <c r="B51" s="172">
        <f>'11.F&amp;V Crop Production details'!B62</f>
        <v>0</v>
      </c>
      <c r="C51" s="172">
        <f>'11.F&amp;V Crop Production details'!C62</f>
        <v>0</v>
      </c>
      <c r="D51" s="172">
        <f>'11.F&amp;V Crop Production details'!D62</f>
        <v>0</v>
      </c>
      <c r="E51" s="172">
        <f>'11.F&amp;V Crop Production details'!E62</f>
        <v>0</v>
      </c>
      <c r="F51" s="172">
        <f>'11.F&amp;V Crop Production details'!F62</f>
        <v>0</v>
      </c>
      <c r="G51" s="172">
        <f>'11.F&amp;V Crop Production details'!G62</f>
        <v>0</v>
      </c>
      <c r="H51" s="172">
        <f>'11.F&amp;V Crop Production details'!H62</f>
        <v>0</v>
      </c>
    </row>
    <row r="52" spans="1:8">
      <c r="A52" s="172">
        <f>'11.F&amp;V Crop Production details'!A63</f>
        <v>0</v>
      </c>
      <c r="B52" s="172">
        <f>'11.F&amp;V Crop Production details'!B63</f>
        <v>0</v>
      </c>
      <c r="C52" s="172">
        <f>'11.F&amp;V Crop Production details'!C63</f>
        <v>0</v>
      </c>
      <c r="D52" s="172">
        <f>'11.F&amp;V Crop Production details'!D63</f>
        <v>0</v>
      </c>
      <c r="E52" s="172">
        <f>'11.F&amp;V Crop Production details'!E63</f>
        <v>0</v>
      </c>
      <c r="F52" s="172">
        <f>'11.F&amp;V Crop Production details'!F63</f>
        <v>0</v>
      </c>
      <c r="G52" s="172">
        <f>'11.F&amp;V Crop Production details'!G63</f>
        <v>0</v>
      </c>
      <c r="H52" s="172">
        <f>'11.F&amp;V Crop Production details'!H63</f>
        <v>0</v>
      </c>
    </row>
    <row r="53" spans="1:8">
      <c r="A53" s="172">
        <f>'11.F&amp;V Crop Production details'!A64</f>
        <v>0</v>
      </c>
      <c r="B53" s="172"/>
      <c r="C53" s="172"/>
      <c r="D53" s="172"/>
      <c r="E53" s="172"/>
      <c r="F53" s="172"/>
      <c r="G53" s="172"/>
      <c r="H53" s="172"/>
    </row>
    <row r="54" spans="1:8">
      <c r="A54" s="172">
        <f>'11.F&amp;V Crop Production details'!A65</f>
        <v>0</v>
      </c>
      <c r="B54" s="172"/>
      <c r="C54" s="172"/>
      <c r="D54" s="172"/>
      <c r="E54" s="172"/>
      <c r="F54" s="172"/>
      <c r="G54" s="172"/>
      <c r="H54" s="172"/>
    </row>
    <row r="55" spans="1:8">
      <c r="A55" s="172">
        <f>'11.F&amp;V Crop Production details'!A66</f>
        <v>0</v>
      </c>
      <c r="B55" s="172"/>
      <c r="C55" s="172"/>
      <c r="D55" s="172"/>
      <c r="E55" s="172"/>
      <c r="F55" s="172"/>
      <c r="G55" s="172"/>
      <c r="H55" s="172"/>
    </row>
    <row r="56" spans="1:8">
      <c r="A56" s="172" t="str">
        <f>'11.F&amp;V Crop Production details'!A67</f>
        <v>Pomegranate</v>
      </c>
      <c r="B56" s="172">
        <f>'11.F&amp;V Crop Production details'!B67</f>
        <v>0</v>
      </c>
      <c r="C56" s="172">
        <f>'11.F&amp;V Crop Production details'!C67</f>
        <v>0</v>
      </c>
      <c r="D56" s="172">
        <f>'11.F&amp;V Crop Production details'!D67</f>
        <v>0</v>
      </c>
      <c r="E56" s="172">
        <f>'11.F&amp;V Crop Production details'!E67</f>
        <v>0</v>
      </c>
      <c r="F56" s="172">
        <f>'11.F&amp;V Crop Production details'!F67</f>
        <v>0</v>
      </c>
      <c r="G56" s="172">
        <f>'11.F&amp;V Crop Production details'!G67</f>
        <v>0</v>
      </c>
      <c r="H56" s="172">
        <f>'11.F&amp;V Crop Production details'!H67</f>
        <v>0</v>
      </c>
    </row>
    <row r="57" spans="1:8">
      <c r="A57" s="172" t="str">
        <f>'11.F&amp;V Crop Production details'!A68</f>
        <v>Custard Apple</v>
      </c>
      <c r="B57" s="172">
        <f>'11.F&amp;V Crop Production details'!B68</f>
        <v>0</v>
      </c>
      <c r="C57" s="172">
        <f>'11.F&amp;V Crop Production details'!C68</f>
        <v>0</v>
      </c>
      <c r="D57" s="172">
        <f>'11.F&amp;V Crop Production details'!D68</f>
        <v>0</v>
      </c>
      <c r="E57" s="172">
        <f>'11.F&amp;V Crop Production details'!E68</f>
        <v>0</v>
      </c>
      <c r="F57" s="172">
        <f>'11.F&amp;V Crop Production details'!F68</f>
        <v>0</v>
      </c>
      <c r="G57" s="172">
        <f>'11.F&amp;V Crop Production details'!G68</f>
        <v>0</v>
      </c>
      <c r="H57" s="172">
        <f>'11.F&amp;V Crop Production details'!H68</f>
        <v>0</v>
      </c>
    </row>
    <row r="58" spans="1:8">
      <c r="A58" s="172" t="str">
        <f>'11.F&amp;V Crop Production details'!A69</f>
        <v>Guava</v>
      </c>
      <c r="B58" s="172">
        <f>'11.F&amp;V Crop Production details'!B69</f>
        <v>0</v>
      </c>
      <c r="C58" s="172">
        <f>'11.F&amp;V Crop Production details'!C69</f>
        <v>0</v>
      </c>
      <c r="D58" s="172">
        <f>'11.F&amp;V Crop Production details'!D69</f>
        <v>0</v>
      </c>
      <c r="E58" s="172">
        <f>'11.F&amp;V Crop Production details'!E69</f>
        <v>0</v>
      </c>
      <c r="F58" s="172">
        <f>'11.F&amp;V Crop Production details'!F69</f>
        <v>0</v>
      </c>
      <c r="G58" s="172">
        <f>'11.F&amp;V Crop Production details'!G69</f>
        <v>0</v>
      </c>
      <c r="H58" s="172">
        <f>'11.F&amp;V Crop Production details'!H69</f>
        <v>0</v>
      </c>
    </row>
    <row r="59" spans="1:8">
      <c r="A59" s="172" t="str">
        <f>'11.F&amp;V Crop Production details'!A70</f>
        <v>Citrus</v>
      </c>
      <c r="B59" s="172">
        <f>'11.F&amp;V Crop Production details'!B70</f>
        <v>0</v>
      </c>
      <c r="C59" s="172">
        <f>'11.F&amp;V Crop Production details'!C70</f>
        <v>0</v>
      </c>
      <c r="D59" s="172">
        <f>'11.F&amp;V Crop Production details'!D70</f>
        <v>0</v>
      </c>
      <c r="E59" s="172">
        <f>'11.F&amp;V Crop Production details'!E70</f>
        <v>0</v>
      </c>
      <c r="F59" s="172">
        <f>'11.F&amp;V Crop Production details'!F70</f>
        <v>0</v>
      </c>
      <c r="G59" s="172">
        <f>'11.F&amp;V Crop Production details'!G70</f>
        <v>0</v>
      </c>
      <c r="H59" s="172">
        <f>'11.F&amp;V Crop Production details'!H70</f>
        <v>0</v>
      </c>
    </row>
    <row r="60" spans="1:8">
      <c r="A60" s="172"/>
      <c r="B60" s="172"/>
      <c r="C60" s="172"/>
      <c r="D60" s="172"/>
      <c r="E60" s="172"/>
      <c r="F60" s="172"/>
      <c r="G60" s="172"/>
      <c r="H60" s="172"/>
    </row>
    <row r="61" spans="1:8">
      <c r="A61" s="79" t="s">
        <v>521</v>
      </c>
      <c r="B61" s="172">
        <f t="shared" ref="B61:H61" si="2">SUM(B35:B59)</f>
        <v>0</v>
      </c>
      <c r="C61" s="172">
        <f t="shared" si="2"/>
        <v>0</v>
      </c>
      <c r="D61" s="172">
        <f t="shared" si="2"/>
        <v>0</v>
      </c>
      <c r="E61" s="172">
        <f t="shared" si="2"/>
        <v>0</v>
      </c>
      <c r="F61" s="172">
        <f t="shared" si="2"/>
        <v>0</v>
      </c>
      <c r="G61" s="172">
        <f t="shared" si="2"/>
        <v>0</v>
      </c>
      <c r="H61" s="172">
        <f t="shared" si="2"/>
        <v>0</v>
      </c>
    </row>
    <row r="62" spans="1:8">
      <c r="A62" s="249" t="s">
        <v>523</v>
      </c>
      <c r="B62" s="262">
        <v>0.2</v>
      </c>
      <c r="C62" s="262">
        <v>0.5</v>
      </c>
      <c r="D62" s="262">
        <v>0.5</v>
      </c>
      <c r="E62" s="262">
        <v>0.5</v>
      </c>
      <c r="F62" s="262">
        <v>0.5</v>
      </c>
      <c r="G62" s="262">
        <v>0.5</v>
      </c>
      <c r="H62" s="262">
        <v>0.5</v>
      </c>
    </row>
    <row r="63" spans="1:8">
      <c r="A63" s="249" t="s">
        <v>524</v>
      </c>
      <c r="B63" s="262">
        <v>0.8</v>
      </c>
      <c r="C63" s="262">
        <f t="shared" ref="C63:H63" si="3">1-C62</f>
        <v>0.5</v>
      </c>
      <c r="D63" s="262">
        <f t="shared" si="3"/>
        <v>0.5</v>
      </c>
      <c r="E63" s="262">
        <f t="shared" si="3"/>
        <v>0.5</v>
      </c>
      <c r="F63" s="262">
        <f t="shared" si="3"/>
        <v>0.5</v>
      </c>
      <c r="G63" s="262">
        <f t="shared" si="3"/>
        <v>0.5</v>
      </c>
      <c r="H63" s="262">
        <f t="shared" si="3"/>
        <v>0.5</v>
      </c>
    </row>
    <row r="64" spans="1:8">
      <c r="A64" s="249"/>
      <c r="B64" s="262"/>
      <c r="C64" s="262"/>
      <c r="D64" s="262"/>
      <c r="E64" s="262"/>
      <c r="F64" s="262"/>
      <c r="G64" s="262"/>
      <c r="H64" s="262"/>
    </row>
    <row r="65" spans="1:8">
      <c r="A65" s="249" t="s">
        <v>165</v>
      </c>
      <c r="B65" s="250">
        <f t="shared" ref="B65:H65" si="4">B33*B62</f>
        <v>8.0841290000000001E-5</v>
      </c>
      <c r="C65" s="250">
        <f t="shared" si="4"/>
        <v>2.0210322499999999E-4</v>
      </c>
      <c r="D65" s="250">
        <f t="shared" si="4"/>
        <v>2.0210322499999999E-4</v>
      </c>
      <c r="E65" s="250">
        <f t="shared" si="4"/>
        <v>2.0210322499999999E-4</v>
      </c>
      <c r="F65" s="250">
        <f t="shared" si="4"/>
        <v>2.0210322499999999E-4</v>
      </c>
      <c r="G65" s="250">
        <f t="shared" si="4"/>
        <v>2.0210322499999999E-4</v>
      </c>
      <c r="H65" s="250">
        <f t="shared" si="4"/>
        <v>2.0210322499999999E-4</v>
      </c>
    </row>
    <row r="66" spans="1:8">
      <c r="A66" s="79"/>
      <c r="B66" s="172"/>
      <c r="C66" s="172"/>
      <c r="D66" s="172"/>
      <c r="E66" s="172"/>
      <c r="F66" s="172"/>
      <c r="G66" s="172"/>
      <c r="H66" s="172"/>
    </row>
    <row r="67" spans="1:8">
      <c r="A67" s="79" t="s">
        <v>166</v>
      </c>
      <c r="B67" s="172"/>
      <c r="C67" s="172"/>
      <c r="D67" s="172"/>
      <c r="E67" s="172"/>
      <c r="F67" s="172"/>
      <c r="G67" s="172"/>
      <c r="H67" s="172"/>
    </row>
    <row r="68" spans="1:8">
      <c r="A68" s="77" t="str">
        <f t="shared" ref="A68:A89" si="5">A11</f>
        <v>Soybean</v>
      </c>
      <c r="B68" s="261">
        <f t="shared" ref="B68:B89" si="6">B11*$B$63</f>
        <v>0</v>
      </c>
      <c r="C68" s="261">
        <f t="shared" ref="C68:C83" si="7">C11*$C$63</f>
        <v>0</v>
      </c>
      <c r="D68" s="261">
        <f t="shared" ref="D68:D83" si="8">D11*$D$63</f>
        <v>0</v>
      </c>
      <c r="E68" s="261">
        <f t="shared" ref="E68:E83" si="9">E11*$E$63</f>
        <v>0</v>
      </c>
      <c r="F68" s="261">
        <f t="shared" ref="F68:F83" si="10">F11*$F$63</f>
        <v>0</v>
      </c>
      <c r="G68" s="261">
        <f t="shared" ref="G68:G83" si="11">G11*$G$63</f>
        <v>0</v>
      </c>
      <c r="H68" s="261">
        <f t="shared" ref="H68:H83" si="12">H11*$H$63</f>
        <v>0</v>
      </c>
    </row>
    <row r="69" spans="1:8">
      <c r="A69" s="77" t="str">
        <f t="shared" si="5"/>
        <v>Red Gram/Tur</v>
      </c>
      <c r="B69" s="261">
        <f t="shared" si="6"/>
        <v>5.8333800000000014E-5</v>
      </c>
      <c r="C69" s="261">
        <f t="shared" si="7"/>
        <v>3.6458625000000005E-5</v>
      </c>
      <c r="D69" s="261">
        <f t="shared" si="8"/>
        <v>3.6458625000000005E-5</v>
      </c>
      <c r="E69" s="261">
        <f t="shared" si="9"/>
        <v>3.6458625000000005E-5</v>
      </c>
      <c r="F69" s="261">
        <f t="shared" si="10"/>
        <v>3.6458625000000005E-5</v>
      </c>
      <c r="G69" s="261">
        <f t="shared" si="11"/>
        <v>3.6458625000000005E-5</v>
      </c>
      <c r="H69" s="261">
        <f t="shared" si="12"/>
        <v>3.6458625000000005E-5</v>
      </c>
    </row>
    <row r="70" spans="1:8">
      <c r="A70" s="77" t="str">
        <f t="shared" si="5"/>
        <v>Paddy/Rice</v>
      </c>
      <c r="B70" s="261">
        <f t="shared" si="6"/>
        <v>0</v>
      </c>
      <c r="C70" s="261">
        <f t="shared" si="7"/>
        <v>0</v>
      </c>
      <c r="D70" s="261">
        <f t="shared" si="8"/>
        <v>0</v>
      </c>
      <c r="E70" s="261">
        <f t="shared" si="9"/>
        <v>0</v>
      </c>
      <c r="F70" s="261">
        <f t="shared" si="10"/>
        <v>0</v>
      </c>
      <c r="G70" s="261">
        <f t="shared" si="11"/>
        <v>0</v>
      </c>
      <c r="H70" s="261">
        <f t="shared" si="12"/>
        <v>0</v>
      </c>
    </row>
    <row r="71" spans="1:8">
      <c r="A71" s="77" t="str">
        <f t="shared" si="5"/>
        <v>Green Gram/ Moong</v>
      </c>
      <c r="B71" s="261">
        <f t="shared" si="6"/>
        <v>8.0234560000000003E-5</v>
      </c>
      <c r="C71" s="261">
        <f t="shared" si="7"/>
        <v>5.0146599999999999E-5</v>
      </c>
      <c r="D71" s="261">
        <f t="shared" si="8"/>
        <v>5.0146599999999999E-5</v>
      </c>
      <c r="E71" s="261">
        <f t="shared" si="9"/>
        <v>5.0146599999999999E-5</v>
      </c>
      <c r="F71" s="261">
        <f t="shared" si="10"/>
        <v>5.0146599999999999E-5</v>
      </c>
      <c r="G71" s="261">
        <f t="shared" si="11"/>
        <v>5.0146599999999999E-5</v>
      </c>
      <c r="H71" s="261">
        <f t="shared" si="12"/>
        <v>5.0146599999999999E-5</v>
      </c>
    </row>
    <row r="72" spans="1:8">
      <c r="A72" s="77" t="str">
        <f t="shared" si="5"/>
        <v>Maize</v>
      </c>
      <c r="B72" s="261">
        <f t="shared" si="6"/>
        <v>0</v>
      </c>
      <c r="C72" s="261">
        <f t="shared" si="7"/>
        <v>0</v>
      </c>
      <c r="D72" s="261">
        <f t="shared" si="8"/>
        <v>0</v>
      </c>
      <c r="E72" s="261">
        <f t="shared" si="9"/>
        <v>0</v>
      </c>
      <c r="F72" s="261">
        <f t="shared" si="10"/>
        <v>0</v>
      </c>
      <c r="G72" s="261">
        <f t="shared" si="11"/>
        <v>0</v>
      </c>
      <c r="H72" s="261">
        <f t="shared" si="12"/>
        <v>0</v>
      </c>
    </row>
    <row r="73" spans="1:8">
      <c r="A73" s="77" t="str">
        <f t="shared" si="5"/>
        <v>Black Gram/Udid</v>
      </c>
      <c r="B73" s="261">
        <f t="shared" si="6"/>
        <v>7.368480000000001E-5</v>
      </c>
      <c r="C73" s="261">
        <f t="shared" si="7"/>
        <v>4.6053000000000001E-5</v>
      </c>
      <c r="D73" s="261">
        <f t="shared" si="8"/>
        <v>4.6053000000000001E-5</v>
      </c>
      <c r="E73" s="261">
        <f t="shared" si="9"/>
        <v>4.6053000000000001E-5</v>
      </c>
      <c r="F73" s="261">
        <f t="shared" si="10"/>
        <v>4.6053000000000001E-5</v>
      </c>
      <c r="G73" s="261">
        <f t="shared" si="11"/>
        <v>4.6053000000000001E-5</v>
      </c>
      <c r="H73" s="261">
        <f t="shared" si="12"/>
        <v>4.6053000000000001E-5</v>
      </c>
    </row>
    <row r="74" spans="1:8">
      <c r="A74" s="77" t="str">
        <f t="shared" si="5"/>
        <v>Bajra</v>
      </c>
      <c r="B74" s="261">
        <f t="shared" si="6"/>
        <v>0</v>
      </c>
      <c r="C74" s="261">
        <f t="shared" si="7"/>
        <v>0</v>
      </c>
      <c r="D74" s="261">
        <f t="shared" si="8"/>
        <v>0</v>
      </c>
      <c r="E74" s="261">
        <f t="shared" si="9"/>
        <v>0</v>
      </c>
      <c r="F74" s="261">
        <f t="shared" si="10"/>
        <v>0</v>
      </c>
      <c r="G74" s="261">
        <f t="shared" si="11"/>
        <v>0</v>
      </c>
      <c r="H74" s="261">
        <f t="shared" si="12"/>
        <v>0</v>
      </c>
    </row>
    <row r="75" spans="1:8">
      <c r="A75" s="77" t="str">
        <f t="shared" si="5"/>
        <v>Jawar</v>
      </c>
      <c r="B75" s="261">
        <f t="shared" si="6"/>
        <v>0</v>
      </c>
      <c r="C75" s="261">
        <f t="shared" si="7"/>
        <v>0</v>
      </c>
      <c r="D75" s="261">
        <f t="shared" si="8"/>
        <v>0</v>
      </c>
      <c r="E75" s="261">
        <f t="shared" si="9"/>
        <v>0</v>
      </c>
      <c r="F75" s="261">
        <f t="shared" si="10"/>
        <v>0</v>
      </c>
      <c r="G75" s="261">
        <f t="shared" si="11"/>
        <v>0</v>
      </c>
      <c r="H75" s="261">
        <f t="shared" si="12"/>
        <v>0</v>
      </c>
    </row>
    <row r="76" spans="1:8">
      <c r="A76" s="77" t="str">
        <f t="shared" si="5"/>
        <v>Sunflower</v>
      </c>
      <c r="B76" s="261">
        <f t="shared" si="6"/>
        <v>0</v>
      </c>
      <c r="C76" s="261">
        <f t="shared" si="7"/>
        <v>0</v>
      </c>
      <c r="D76" s="261">
        <f t="shared" si="8"/>
        <v>0</v>
      </c>
      <c r="E76" s="261">
        <f t="shared" si="9"/>
        <v>0</v>
      </c>
      <c r="F76" s="261">
        <f t="shared" si="10"/>
        <v>0</v>
      </c>
      <c r="G76" s="261">
        <f t="shared" si="11"/>
        <v>0</v>
      </c>
      <c r="H76" s="261">
        <f t="shared" si="12"/>
        <v>0</v>
      </c>
    </row>
    <row r="77" spans="1:8">
      <c r="A77" s="77" t="str">
        <f t="shared" si="5"/>
        <v>Wheat</v>
      </c>
      <c r="B77" s="261">
        <f t="shared" si="6"/>
        <v>0</v>
      </c>
      <c r="C77" s="261">
        <f t="shared" si="7"/>
        <v>0</v>
      </c>
      <c r="D77" s="261">
        <f t="shared" si="8"/>
        <v>0</v>
      </c>
      <c r="E77" s="261">
        <f t="shared" si="9"/>
        <v>0</v>
      </c>
      <c r="F77" s="261">
        <f t="shared" si="10"/>
        <v>0</v>
      </c>
      <c r="G77" s="261">
        <f t="shared" si="11"/>
        <v>0</v>
      </c>
      <c r="H77" s="261">
        <f t="shared" si="12"/>
        <v>0</v>
      </c>
    </row>
    <row r="78" spans="1:8">
      <c r="A78" s="77" t="str">
        <f t="shared" si="5"/>
        <v>Bengal Gram/Channa</v>
      </c>
      <c r="B78" s="261">
        <f t="shared" si="6"/>
        <v>1.11112E-4</v>
      </c>
      <c r="C78" s="261">
        <f t="shared" si="7"/>
        <v>6.9444999999999997E-5</v>
      </c>
      <c r="D78" s="261">
        <f t="shared" si="8"/>
        <v>6.9444999999999997E-5</v>
      </c>
      <c r="E78" s="261">
        <f t="shared" si="9"/>
        <v>6.9444999999999997E-5</v>
      </c>
      <c r="F78" s="261">
        <f t="shared" si="10"/>
        <v>6.9444999999999997E-5</v>
      </c>
      <c r="G78" s="261">
        <f t="shared" si="11"/>
        <v>6.9444999999999997E-5</v>
      </c>
      <c r="H78" s="261">
        <f t="shared" si="12"/>
        <v>6.9444999999999997E-5</v>
      </c>
    </row>
    <row r="79" spans="1:8">
      <c r="A79" s="77" t="str">
        <f t="shared" si="5"/>
        <v>Jawar</v>
      </c>
      <c r="B79" s="261">
        <f t="shared" si="6"/>
        <v>0</v>
      </c>
      <c r="C79" s="261">
        <f t="shared" si="7"/>
        <v>0</v>
      </c>
      <c r="D79" s="261">
        <f t="shared" si="8"/>
        <v>0</v>
      </c>
      <c r="E79" s="261">
        <f t="shared" si="9"/>
        <v>0</v>
      </c>
      <c r="F79" s="261">
        <f t="shared" si="10"/>
        <v>0</v>
      </c>
      <c r="G79" s="261">
        <f t="shared" si="11"/>
        <v>0</v>
      </c>
      <c r="H79" s="261">
        <f t="shared" si="12"/>
        <v>0</v>
      </c>
    </row>
    <row r="80" spans="1:8">
      <c r="A80" s="77" t="str">
        <f t="shared" si="5"/>
        <v>Maize</v>
      </c>
      <c r="B80" s="261">
        <f t="shared" si="6"/>
        <v>0</v>
      </c>
      <c r="C80" s="261">
        <f t="shared" si="7"/>
        <v>0</v>
      </c>
      <c r="D80" s="261">
        <f t="shared" si="8"/>
        <v>0</v>
      </c>
      <c r="E80" s="261">
        <f t="shared" si="9"/>
        <v>0</v>
      </c>
      <c r="F80" s="261">
        <f t="shared" si="10"/>
        <v>0</v>
      </c>
      <c r="G80" s="261">
        <f t="shared" si="11"/>
        <v>0</v>
      </c>
      <c r="H80" s="261">
        <f t="shared" si="12"/>
        <v>0</v>
      </c>
    </row>
    <row r="81" spans="1:12">
      <c r="A81" s="77" t="str">
        <f t="shared" si="5"/>
        <v>Safflower</v>
      </c>
      <c r="B81" s="261">
        <f t="shared" si="6"/>
        <v>0</v>
      </c>
      <c r="C81" s="261">
        <f t="shared" si="7"/>
        <v>0</v>
      </c>
      <c r="D81" s="261">
        <f t="shared" si="8"/>
        <v>0</v>
      </c>
      <c r="E81" s="261">
        <f t="shared" si="9"/>
        <v>0</v>
      </c>
      <c r="F81" s="261">
        <f t="shared" si="10"/>
        <v>0</v>
      </c>
      <c r="G81" s="261">
        <f t="shared" si="11"/>
        <v>0</v>
      </c>
      <c r="H81" s="261">
        <f t="shared" si="12"/>
        <v>0</v>
      </c>
    </row>
    <row r="82" spans="1:12">
      <c r="A82" s="77">
        <f t="shared" si="5"/>
        <v>0</v>
      </c>
      <c r="B82" s="261">
        <f t="shared" si="6"/>
        <v>0</v>
      </c>
      <c r="C82" s="261">
        <f t="shared" si="7"/>
        <v>0</v>
      </c>
      <c r="D82" s="261">
        <f t="shared" si="8"/>
        <v>0</v>
      </c>
      <c r="E82" s="261">
        <f t="shared" si="9"/>
        <v>0</v>
      </c>
      <c r="F82" s="261">
        <f t="shared" si="10"/>
        <v>0</v>
      </c>
      <c r="G82" s="261">
        <f t="shared" si="11"/>
        <v>0</v>
      </c>
      <c r="H82" s="261">
        <f t="shared" si="12"/>
        <v>0</v>
      </c>
    </row>
    <row r="83" spans="1:12">
      <c r="A83" s="77">
        <f t="shared" si="5"/>
        <v>0</v>
      </c>
      <c r="B83" s="261">
        <f t="shared" si="6"/>
        <v>0</v>
      </c>
      <c r="C83" s="261">
        <f t="shared" si="7"/>
        <v>0</v>
      </c>
      <c r="D83" s="261">
        <f t="shared" si="8"/>
        <v>0</v>
      </c>
      <c r="E83" s="261">
        <f t="shared" si="9"/>
        <v>0</v>
      </c>
      <c r="F83" s="261">
        <f t="shared" si="10"/>
        <v>0</v>
      </c>
      <c r="G83" s="261">
        <f t="shared" si="11"/>
        <v>0</v>
      </c>
      <c r="H83" s="261">
        <f t="shared" si="12"/>
        <v>0</v>
      </c>
    </row>
    <row r="84" spans="1:12">
      <c r="A84" s="77">
        <f t="shared" si="5"/>
        <v>0</v>
      </c>
      <c r="B84" s="261">
        <f t="shared" si="6"/>
        <v>0</v>
      </c>
      <c r="C84" s="261">
        <f t="shared" ref="C84:H89" si="13">C27*$B$63</f>
        <v>0</v>
      </c>
      <c r="D84" s="261">
        <f t="shared" si="13"/>
        <v>0</v>
      </c>
      <c r="E84" s="261">
        <f t="shared" si="13"/>
        <v>0</v>
      </c>
      <c r="F84" s="261">
        <f t="shared" si="13"/>
        <v>0</v>
      </c>
      <c r="G84" s="261">
        <f t="shared" si="13"/>
        <v>0</v>
      </c>
      <c r="H84" s="261">
        <f t="shared" si="13"/>
        <v>0</v>
      </c>
    </row>
    <row r="85" spans="1:12">
      <c r="A85" s="77" t="str">
        <f t="shared" si="5"/>
        <v>Groundnut</v>
      </c>
      <c r="B85" s="261">
        <f t="shared" si="6"/>
        <v>0</v>
      </c>
      <c r="C85" s="261">
        <f t="shared" si="13"/>
        <v>0</v>
      </c>
      <c r="D85" s="261">
        <f t="shared" si="13"/>
        <v>0</v>
      </c>
      <c r="E85" s="261">
        <f t="shared" si="13"/>
        <v>0</v>
      </c>
      <c r="F85" s="261">
        <f t="shared" si="13"/>
        <v>0</v>
      </c>
      <c r="G85" s="261">
        <f t="shared" si="13"/>
        <v>0</v>
      </c>
      <c r="H85" s="261">
        <f t="shared" si="13"/>
        <v>0</v>
      </c>
    </row>
    <row r="86" spans="1:12">
      <c r="A86" s="77">
        <f t="shared" si="5"/>
        <v>0</v>
      </c>
      <c r="B86" s="261">
        <f t="shared" si="6"/>
        <v>0</v>
      </c>
      <c r="C86" s="261">
        <f t="shared" si="13"/>
        <v>0</v>
      </c>
      <c r="D86" s="261">
        <f t="shared" si="13"/>
        <v>0</v>
      </c>
      <c r="E86" s="261">
        <f t="shared" si="13"/>
        <v>0</v>
      </c>
      <c r="F86" s="261">
        <f t="shared" si="13"/>
        <v>0</v>
      </c>
      <c r="G86" s="261">
        <f t="shared" si="13"/>
        <v>0</v>
      </c>
      <c r="H86" s="261">
        <f t="shared" si="13"/>
        <v>0</v>
      </c>
    </row>
    <row r="87" spans="1:12">
      <c r="A87" s="77">
        <f t="shared" si="5"/>
        <v>0</v>
      </c>
      <c r="B87" s="261">
        <f t="shared" si="6"/>
        <v>0</v>
      </c>
      <c r="C87" s="261">
        <f t="shared" si="13"/>
        <v>0</v>
      </c>
      <c r="D87" s="261">
        <f t="shared" si="13"/>
        <v>0</v>
      </c>
      <c r="E87" s="261">
        <f t="shared" si="13"/>
        <v>0</v>
      </c>
      <c r="F87" s="261">
        <f t="shared" si="13"/>
        <v>0</v>
      </c>
      <c r="G87" s="261">
        <f t="shared" si="13"/>
        <v>0</v>
      </c>
      <c r="H87" s="261">
        <f t="shared" si="13"/>
        <v>0</v>
      </c>
    </row>
    <row r="88" spans="1:12">
      <c r="A88" s="77">
        <f t="shared" si="5"/>
        <v>0</v>
      </c>
      <c r="B88" s="261">
        <f t="shared" si="6"/>
        <v>0</v>
      </c>
      <c r="C88" s="261">
        <f t="shared" si="13"/>
        <v>0</v>
      </c>
      <c r="D88" s="261">
        <f t="shared" si="13"/>
        <v>0</v>
      </c>
      <c r="E88" s="261">
        <f t="shared" si="13"/>
        <v>0</v>
      </c>
      <c r="F88" s="261">
        <f t="shared" si="13"/>
        <v>0</v>
      </c>
      <c r="G88" s="261">
        <f t="shared" si="13"/>
        <v>0</v>
      </c>
      <c r="H88" s="261">
        <f t="shared" si="13"/>
        <v>0</v>
      </c>
    </row>
    <row r="89" spans="1:12">
      <c r="A89" s="77">
        <f t="shared" si="5"/>
        <v>0</v>
      </c>
      <c r="B89" s="261">
        <f t="shared" si="6"/>
        <v>0</v>
      </c>
      <c r="C89" s="261">
        <f t="shared" si="13"/>
        <v>0</v>
      </c>
      <c r="D89" s="261">
        <f t="shared" si="13"/>
        <v>0</v>
      </c>
      <c r="E89" s="261">
        <f t="shared" si="13"/>
        <v>0</v>
      </c>
      <c r="F89" s="261">
        <f t="shared" si="13"/>
        <v>0</v>
      </c>
      <c r="G89" s="261">
        <f t="shared" si="13"/>
        <v>0</v>
      </c>
      <c r="H89" s="261">
        <f t="shared" si="13"/>
        <v>0</v>
      </c>
    </row>
    <row r="90" spans="1:12">
      <c r="A90" s="77"/>
      <c r="B90" s="261"/>
      <c r="C90" s="261"/>
      <c r="D90" s="261"/>
      <c r="E90" s="261"/>
      <c r="F90" s="261"/>
      <c r="G90" s="261"/>
      <c r="H90" s="261"/>
      <c r="J90" s="13"/>
      <c r="K90" s="13"/>
      <c r="L90" s="13"/>
    </row>
    <row r="91" spans="1:12">
      <c r="A91" s="77" t="str">
        <f t="shared" ref="A91:A109" si="14">A34</f>
        <v>Fruit  &amp; Vegetables Crop Production Details</v>
      </c>
      <c r="B91" s="261"/>
      <c r="C91" s="261"/>
      <c r="D91" s="261"/>
      <c r="E91" s="261"/>
      <c r="F91" s="261"/>
      <c r="G91" s="261"/>
      <c r="H91" s="261"/>
      <c r="J91" s="13"/>
      <c r="K91" s="13"/>
      <c r="L91" s="13"/>
    </row>
    <row r="92" spans="1:12">
      <c r="A92" s="77" t="str">
        <f t="shared" si="14"/>
        <v>Onion</v>
      </c>
      <c r="B92" s="261">
        <f t="shared" ref="B92:H101" si="15">B35</f>
        <v>0</v>
      </c>
      <c r="C92" s="261">
        <f t="shared" si="15"/>
        <v>0</v>
      </c>
      <c r="D92" s="261">
        <f t="shared" si="15"/>
        <v>0</v>
      </c>
      <c r="E92" s="261">
        <f t="shared" si="15"/>
        <v>0</v>
      </c>
      <c r="F92" s="261">
        <f t="shared" si="15"/>
        <v>0</v>
      </c>
      <c r="G92" s="261">
        <f t="shared" si="15"/>
        <v>0</v>
      </c>
      <c r="H92" s="261">
        <f t="shared" si="15"/>
        <v>0</v>
      </c>
      <c r="J92" s="13"/>
      <c r="K92" s="13"/>
      <c r="L92" s="13"/>
    </row>
    <row r="93" spans="1:12">
      <c r="A93" s="77" t="str">
        <f t="shared" si="14"/>
        <v>Tomato</v>
      </c>
      <c r="B93" s="261">
        <f t="shared" si="15"/>
        <v>0</v>
      </c>
      <c r="C93" s="261">
        <f t="shared" si="15"/>
        <v>0</v>
      </c>
      <c r="D93" s="261">
        <f t="shared" si="15"/>
        <v>0</v>
      </c>
      <c r="E93" s="261">
        <f t="shared" si="15"/>
        <v>0</v>
      </c>
      <c r="F93" s="261">
        <f t="shared" si="15"/>
        <v>0</v>
      </c>
      <c r="G93" s="261">
        <f t="shared" si="15"/>
        <v>0</v>
      </c>
      <c r="H93" s="261">
        <f t="shared" si="15"/>
        <v>0</v>
      </c>
      <c r="J93" s="13"/>
      <c r="K93" s="13"/>
      <c r="L93" s="13"/>
    </row>
    <row r="94" spans="1:12">
      <c r="A94" s="77" t="str">
        <f t="shared" si="14"/>
        <v>Okra</v>
      </c>
      <c r="B94" s="261">
        <f t="shared" si="15"/>
        <v>0</v>
      </c>
      <c r="C94" s="261">
        <f t="shared" si="15"/>
        <v>0</v>
      </c>
      <c r="D94" s="261">
        <f t="shared" si="15"/>
        <v>0</v>
      </c>
      <c r="E94" s="261">
        <f t="shared" si="15"/>
        <v>0</v>
      </c>
      <c r="F94" s="261">
        <f t="shared" si="15"/>
        <v>0</v>
      </c>
      <c r="G94" s="261">
        <f t="shared" si="15"/>
        <v>0</v>
      </c>
      <c r="H94" s="261">
        <f t="shared" si="15"/>
        <v>0</v>
      </c>
      <c r="J94" s="13"/>
      <c r="K94" s="13"/>
      <c r="L94" s="13"/>
    </row>
    <row r="95" spans="1:12">
      <c r="A95" s="77" t="str">
        <f t="shared" si="14"/>
        <v>Chilli</v>
      </c>
      <c r="B95" s="261">
        <f t="shared" si="15"/>
        <v>0</v>
      </c>
      <c r="C95" s="261">
        <f t="shared" si="15"/>
        <v>0</v>
      </c>
      <c r="D95" s="261">
        <f t="shared" si="15"/>
        <v>0</v>
      </c>
      <c r="E95" s="261">
        <f t="shared" si="15"/>
        <v>0</v>
      </c>
      <c r="F95" s="261">
        <f t="shared" si="15"/>
        <v>0</v>
      </c>
      <c r="G95" s="261">
        <f t="shared" si="15"/>
        <v>0</v>
      </c>
      <c r="H95" s="261">
        <f t="shared" si="15"/>
        <v>0</v>
      </c>
      <c r="J95" s="13"/>
      <c r="K95" s="13"/>
      <c r="L95" s="13"/>
    </row>
    <row r="96" spans="1:12">
      <c r="A96" s="77" t="str">
        <f t="shared" si="14"/>
        <v>Potato</v>
      </c>
      <c r="B96" s="261">
        <f t="shared" si="15"/>
        <v>0</v>
      </c>
      <c r="C96" s="261">
        <f t="shared" si="15"/>
        <v>0</v>
      </c>
      <c r="D96" s="261">
        <f t="shared" si="15"/>
        <v>0</v>
      </c>
      <c r="E96" s="261">
        <f t="shared" si="15"/>
        <v>0</v>
      </c>
      <c r="F96" s="261">
        <f t="shared" si="15"/>
        <v>0</v>
      </c>
      <c r="G96" s="261">
        <f t="shared" si="15"/>
        <v>0</v>
      </c>
      <c r="H96" s="261">
        <f t="shared" si="15"/>
        <v>0</v>
      </c>
      <c r="J96" s="13"/>
      <c r="K96" s="13"/>
      <c r="L96" s="13"/>
    </row>
    <row r="97" spans="1:12">
      <c r="A97" s="77">
        <f t="shared" si="14"/>
        <v>0</v>
      </c>
      <c r="B97" s="261">
        <f t="shared" si="15"/>
        <v>0</v>
      </c>
      <c r="C97" s="261">
        <f t="shared" si="15"/>
        <v>0</v>
      </c>
      <c r="D97" s="261">
        <f t="shared" si="15"/>
        <v>0</v>
      </c>
      <c r="E97" s="261">
        <f t="shared" si="15"/>
        <v>0</v>
      </c>
      <c r="F97" s="261">
        <f t="shared" si="15"/>
        <v>0</v>
      </c>
      <c r="G97" s="261">
        <f t="shared" si="15"/>
        <v>0</v>
      </c>
      <c r="H97" s="261">
        <f t="shared" si="15"/>
        <v>0</v>
      </c>
      <c r="J97" s="13"/>
      <c r="K97" s="13"/>
      <c r="L97" s="13"/>
    </row>
    <row r="98" spans="1:12">
      <c r="A98" s="77">
        <f t="shared" si="14"/>
        <v>0</v>
      </c>
      <c r="B98" s="261">
        <f t="shared" si="15"/>
        <v>0</v>
      </c>
      <c r="C98" s="261">
        <f t="shared" si="15"/>
        <v>0</v>
      </c>
      <c r="D98" s="261">
        <f t="shared" si="15"/>
        <v>0</v>
      </c>
      <c r="E98" s="261">
        <f t="shared" si="15"/>
        <v>0</v>
      </c>
      <c r="F98" s="261">
        <f t="shared" si="15"/>
        <v>0</v>
      </c>
      <c r="G98" s="261">
        <f t="shared" si="15"/>
        <v>0</v>
      </c>
      <c r="H98" s="261">
        <f t="shared" si="15"/>
        <v>0</v>
      </c>
      <c r="J98" s="13"/>
      <c r="K98" s="13"/>
      <c r="L98" s="13"/>
    </row>
    <row r="99" spans="1:12">
      <c r="A99" s="77">
        <f t="shared" si="14"/>
        <v>0</v>
      </c>
      <c r="B99" s="261">
        <f t="shared" si="15"/>
        <v>0</v>
      </c>
      <c r="C99" s="261">
        <f t="shared" si="15"/>
        <v>0</v>
      </c>
      <c r="D99" s="261">
        <f t="shared" si="15"/>
        <v>0</v>
      </c>
      <c r="E99" s="261">
        <f t="shared" si="15"/>
        <v>0</v>
      </c>
      <c r="F99" s="261">
        <f t="shared" si="15"/>
        <v>0</v>
      </c>
      <c r="G99" s="261">
        <f t="shared" si="15"/>
        <v>0</v>
      </c>
      <c r="H99" s="261">
        <f t="shared" si="15"/>
        <v>0</v>
      </c>
      <c r="J99" s="13"/>
      <c r="K99" s="13"/>
      <c r="L99" s="13"/>
    </row>
    <row r="100" spans="1:12">
      <c r="A100" s="77">
        <f t="shared" si="14"/>
        <v>0</v>
      </c>
      <c r="B100" s="261">
        <f t="shared" si="15"/>
        <v>0</v>
      </c>
      <c r="C100" s="261">
        <f t="shared" si="15"/>
        <v>0</v>
      </c>
      <c r="D100" s="261">
        <f t="shared" si="15"/>
        <v>0</v>
      </c>
      <c r="E100" s="261">
        <f t="shared" si="15"/>
        <v>0</v>
      </c>
      <c r="F100" s="261">
        <f t="shared" si="15"/>
        <v>0</v>
      </c>
      <c r="G100" s="261">
        <f t="shared" si="15"/>
        <v>0</v>
      </c>
      <c r="H100" s="261">
        <f t="shared" si="15"/>
        <v>0</v>
      </c>
      <c r="J100" s="13"/>
      <c r="K100" s="13"/>
      <c r="L100" s="13"/>
    </row>
    <row r="101" spans="1:12">
      <c r="A101" s="77" t="str">
        <f t="shared" si="14"/>
        <v>Onion</v>
      </c>
      <c r="B101" s="261">
        <f t="shared" si="15"/>
        <v>0</v>
      </c>
      <c r="C101" s="261">
        <f t="shared" si="15"/>
        <v>0</v>
      </c>
      <c r="D101" s="261">
        <f t="shared" si="15"/>
        <v>0</v>
      </c>
      <c r="E101" s="261">
        <f t="shared" si="15"/>
        <v>0</v>
      </c>
      <c r="F101" s="261">
        <f t="shared" si="15"/>
        <v>0</v>
      </c>
      <c r="G101" s="261">
        <f t="shared" si="15"/>
        <v>0</v>
      </c>
      <c r="H101" s="261">
        <f t="shared" si="15"/>
        <v>0</v>
      </c>
      <c r="J101" s="13"/>
      <c r="K101" s="13"/>
      <c r="L101" s="13"/>
    </row>
    <row r="102" spans="1:12">
      <c r="A102" s="77" t="str">
        <f t="shared" si="14"/>
        <v>Tomato</v>
      </c>
      <c r="B102" s="261">
        <f t="shared" ref="B102:H109" si="16">B45</f>
        <v>0</v>
      </c>
      <c r="C102" s="261">
        <f t="shared" si="16"/>
        <v>0</v>
      </c>
      <c r="D102" s="261">
        <f t="shared" si="16"/>
        <v>0</v>
      </c>
      <c r="E102" s="261">
        <f t="shared" si="16"/>
        <v>0</v>
      </c>
      <c r="F102" s="261">
        <f t="shared" si="16"/>
        <v>0</v>
      </c>
      <c r="G102" s="261">
        <f t="shared" si="16"/>
        <v>0</v>
      </c>
      <c r="H102" s="261">
        <f t="shared" si="16"/>
        <v>0</v>
      </c>
      <c r="J102" s="13"/>
      <c r="K102" s="13"/>
      <c r="L102" s="13"/>
    </row>
    <row r="103" spans="1:12">
      <c r="A103" s="77" t="str">
        <f t="shared" si="14"/>
        <v>Okra</v>
      </c>
      <c r="B103" s="261">
        <f t="shared" si="16"/>
        <v>0</v>
      </c>
      <c r="C103" s="261">
        <f t="shared" si="16"/>
        <v>0</v>
      </c>
      <c r="D103" s="261">
        <f t="shared" si="16"/>
        <v>0</v>
      </c>
      <c r="E103" s="261">
        <f t="shared" si="16"/>
        <v>0</v>
      </c>
      <c r="F103" s="261">
        <f t="shared" si="16"/>
        <v>0</v>
      </c>
      <c r="G103" s="261">
        <f t="shared" si="16"/>
        <v>0</v>
      </c>
      <c r="H103" s="261">
        <f t="shared" si="16"/>
        <v>0</v>
      </c>
      <c r="J103" s="13"/>
      <c r="K103" s="13"/>
      <c r="L103" s="13"/>
    </row>
    <row r="104" spans="1:12">
      <c r="A104" s="77" t="str">
        <f t="shared" si="14"/>
        <v>Chilli</v>
      </c>
      <c r="B104" s="261">
        <f t="shared" si="16"/>
        <v>0</v>
      </c>
      <c r="C104" s="261">
        <f t="shared" si="16"/>
        <v>0</v>
      </c>
      <c r="D104" s="261">
        <f t="shared" si="16"/>
        <v>0</v>
      </c>
      <c r="E104" s="261">
        <f t="shared" si="16"/>
        <v>0</v>
      </c>
      <c r="F104" s="261">
        <f t="shared" si="16"/>
        <v>0</v>
      </c>
      <c r="G104" s="261">
        <f t="shared" si="16"/>
        <v>0</v>
      </c>
      <c r="H104" s="261">
        <f t="shared" si="16"/>
        <v>0</v>
      </c>
      <c r="J104" s="13"/>
      <c r="K104" s="13"/>
      <c r="L104" s="13"/>
    </row>
    <row r="105" spans="1:12">
      <c r="A105" s="77" t="str">
        <f t="shared" si="14"/>
        <v>Brinjal</v>
      </c>
      <c r="B105" s="261">
        <f t="shared" si="16"/>
        <v>0</v>
      </c>
      <c r="C105" s="261">
        <f t="shared" si="16"/>
        <v>0</v>
      </c>
      <c r="D105" s="261">
        <f t="shared" si="16"/>
        <v>0</v>
      </c>
      <c r="E105" s="261">
        <f t="shared" si="16"/>
        <v>0</v>
      </c>
      <c r="F105" s="261">
        <f t="shared" si="16"/>
        <v>0</v>
      </c>
      <c r="G105" s="261">
        <f t="shared" si="16"/>
        <v>0</v>
      </c>
      <c r="H105" s="261">
        <f t="shared" si="16"/>
        <v>0</v>
      </c>
      <c r="J105" s="13"/>
      <c r="K105" s="13"/>
      <c r="L105" s="13"/>
    </row>
    <row r="106" spans="1:12">
      <c r="A106" s="77">
        <f t="shared" si="14"/>
        <v>0</v>
      </c>
      <c r="B106" s="261">
        <f t="shared" si="16"/>
        <v>0</v>
      </c>
      <c r="C106" s="261">
        <f t="shared" si="16"/>
        <v>0</v>
      </c>
      <c r="D106" s="261">
        <f t="shared" si="16"/>
        <v>0</v>
      </c>
      <c r="E106" s="261">
        <f t="shared" si="16"/>
        <v>0</v>
      </c>
      <c r="F106" s="261">
        <f t="shared" si="16"/>
        <v>0</v>
      </c>
      <c r="G106" s="261">
        <f t="shared" si="16"/>
        <v>0</v>
      </c>
      <c r="H106" s="261">
        <f t="shared" si="16"/>
        <v>0</v>
      </c>
      <c r="J106" s="13"/>
      <c r="K106" s="13"/>
      <c r="L106" s="13"/>
    </row>
    <row r="107" spans="1:12">
      <c r="A107" s="77">
        <f t="shared" si="14"/>
        <v>0</v>
      </c>
      <c r="B107" s="261">
        <f t="shared" si="16"/>
        <v>0</v>
      </c>
      <c r="C107" s="261">
        <f t="shared" si="16"/>
        <v>0</v>
      </c>
      <c r="D107" s="261">
        <f t="shared" si="16"/>
        <v>0</v>
      </c>
      <c r="E107" s="261">
        <f t="shared" si="16"/>
        <v>0</v>
      </c>
      <c r="F107" s="261">
        <f t="shared" si="16"/>
        <v>0</v>
      </c>
      <c r="G107" s="261">
        <f t="shared" si="16"/>
        <v>0</v>
      </c>
      <c r="H107" s="261">
        <f t="shared" si="16"/>
        <v>0</v>
      </c>
      <c r="J107" s="13"/>
      <c r="K107" s="13"/>
      <c r="L107" s="13"/>
    </row>
    <row r="108" spans="1:12">
      <c r="A108" s="77">
        <f t="shared" si="14"/>
        <v>0</v>
      </c>
      <c r="B108" s="261">
        <f t="shared" si="16"/>
        <v>0</v>
      </c>
      <c r="C108" s="261">
        <f t="shared" si="16"/>
        <v>0</v>
      </c>
      <c r="D108" s="261">
        <f t="shared" si="16"/>
        <v>0</v>
      </c>
      <c r="E108" s="261">
        <f t="shared" si="16"/>
        <v>0</v>
      </c>
      <c r="F108" s="261">
        <f t="shared" si="16"/>
        <v>0</v>
      </c>
      <c r="G108" s="261">
        <f t="shared" si="16"/>
        <v>0</v>
      </c>
      <c r="H108" s="261">
        <f t="shared" si="16"/>
        <v>0</v>
      </c>
      <c r="J108" s="13"/>
      <c r="K108" s="13"/>
      <c r="L108" s="13"/>
    </row>
    <row r="109" spans="1:12">
      <c r="A109" s="77">
        <f t="shared" si="14"/>
        <v>0</v>
      </c>
      <c r="B109" s="261">
        <f t="shared" si="16"/>
        <v>0</v>
      </c>
      <c r="C109" s="261">
        <f t="shared" si="16"/>
        <v>0</v>
      </c>
      <c r="D109" s="261">
        <f t="shared" si="16"/>
        <v>0</v>
      </c>
      <c r="E109" s="261">
        <f t="shared" si="16"/>
        <v>0</v>
      </c>
      <c r="F109" s="261">
        <f t="shared" si="16"/>
        <v>0</v>
      </c>
      <c r="G109" s="261">
        <f t="shared" si="16"/>
        <v>0</v>
      </c>
      <c r="H109" s="261">
        <f t="shared" si="16"/>
        <v>0</v>
      </c>
      <c r="J109" s="13"/>
      <c r="K109" s="13"/>
      <c r="L109" s="13"/>
    </row>
    <row r="110" spans="1:12">
      <c r="A110" s="77">
        <f t="shared" ref="A110:A113" si="17">A53</f>
        <v>0</v>
      </c>
      <c r="B110" s="261"/>
      <c r="C110" s="261"/>
      <c r="D110" s="261"/>
      <c r="E110" s="261"/>
      <c r="F110" s="261"/>
      <c r="G110" s="261"/>
      <c r="H110" s="261"/>
      <c r="J110" s="13"/>
      <c r="K110" s="13"/>
      <c r="L110" s="13"/>
    </row>
    <row r="111" spans="1:12">
      <c r="A111" s="77">
        <f t="shared" si="17"/>
        <v>0</v>
      </c>
      <c r="B111" s="261"/>
      <c r="C111" s="261"/>
      <c r="D111" s="261"/>
      <c r="E111" s="261"/>
      <c r="F111" s="261"/>
      <c r="G111" s="261"/>
      <c r="H111" s="261"/>
      <c r="J111" s="13"/>
      <c r="K111" s="13"/>
      <c r="L111" s="13"/>
    </row>
    <row r="112" spans="1:12">
      <c r="A112" s="77">
        <f t="shared" si="17"/>
        <v>0</v>
      </c>
      <c r="B112" s="261"/>
      <c r="C112" s="261"/>
      <c r="D112" s="261"/>
      <c r="E112" s="261"/>
      <c r="F112" s="261"/>
      <c r="G112" s="261"/>
      <c r="H112" s="261"/>
      <c r="J112" s="13"/>
      <c r="K112" s="13"/>
      <c r="L112" s="13"/>
    </row>
    <row r="113" spans="1:12">
      <c r="A113" s="77" t="str">
        <f t="shared" si="17"/>
        <v>Pomegranate</v>
      </c>
      <c r="B113" s="261">
        <f t="shared" ref="B113:H116" si="18">B56</f>
        <v>0</v>
      </c>
      <c r="C113" s="261">
        <f t="shared" si="18"/>
        <v>0</v>
      </c>
      <c r="D113" s="261">
        <f t="shared" si="18"/>
        <v>0</v>
      </c>
      <c r="E113" s="261">
        <f t="shared" si="18"/>
        <v>0</v>
      </c>
      <c r="F113" s="261">
        <f t="shared" si="18"/>
        <v>0</v>
      </c>
      <c r="G113" s="261">
        <f t="shared" si="18"/>
        <v>0</v>
      </c>
      <c r="H113" s="261">
        <f t="shared" si="18"/>
        <v>0</v>
      </c>
      <c r="J113" s="13"/>
      <c r="K113" s="13"/>
      <c r="L113" s="13"/>
    </row>
    <row r="114" spans="1:12">
      <c r="A114" s="77" t="str">
        <f>A57</f>
        <v>Custard Apple</v>
      </c>
      <c r="B114" s="261">
        <f t="shared" si="18"/>
        <v>0</v>
      </c>
      <c r="C114" s="261">
        <f t="shared" si="18"/>
        <v>0</v>
      </c>
      <c r="D114" s="261">
        <f t="shared" si="18"/>
        <v>0</v>
      </c>
      <c r="E114" s="261">
        <f t="shared" si="18"/>
        <v>0</v>
      </c>
      <c r="F114" s="261">
        <f t="shared" si="18"/>
        <v>0</v>
      </c>
      <c r="G114" s="261">
        <f t="shared" si="18"/>
        <v>0</v>
      </c>
      <c r="H114" s="261">
        <f t="shared" si="18"/>
        <v>0</v>
      </c>
      <c r="J114" s="13"/>
      <c r="K114" s="13"/>
      <c r="L114" s="13"/>
    </row>
    <row r="115" spans="1:12">
      <c r="A115" s="77" t="str">
        <f>A58</f>
        <v>Guava</v>
      </c>
      <c r="B115" s="261">
        <f t="shared" si="18"/>
        <v>0</v>
      </c>
      <c r="C115" s="261">
        <f t="shared" si="18"/>
        <v>0</v>
      </c>
      <c r="D115" s="261">
        <f t="shared" si="18"/>
        <v>0</v>
      </c>
      <c r="E115" s="261">
        <f t="shared" si="18"/>
        <v>0</v>
      </c>
      <c r="F115" s="261">
        <f t="shared" si="18"/>
        <v>0</v>
      </c>
      <c r="G115" s="261">
        <f t="shared" si="18"/>
        <v>0</v>
      </c>
      <c r="H115" s="261">
        <f t="shared" si="18"/>
        <v>0</v>
      </c>
      <c r="J115" s="13"/>
      <c r="K115" s="13"/>
      <c r="L115" s="13"/>
    </row>
    <row r="116" spans="1:12">
      <c r="A116" s="77" t="str">
        <f>A59</f>
        <v>Citrus</v>
      </c>
      <c r="B116" s="261">
        <f t="shared" si="18"/>
        <v>0</v>
      </c>
      <c r="C116" s="261">
        <f t="shared" si="18"/>
        <v>0</v>
      </c>
      <c r="D116" s="261">
        <f t="shared" si="18"/>
        <v>0</v>
      </c>
      <c r="E116" s="261">
        <f t="shared" si="18"/>
        <v>0</v>
      </c>
      <c r="F116" s="261">
        <f t="shared" si="18"/>
        <v>0</v>
      </c>
      <c r="G116" s="261">
        <f t="shared" si="18"/>
        <v>0</v>
      </c>
      <c r="H116" s="261">
        <f t="shared" si="18"/>
        <v>0</v>
      </c>
      <c r="J116" s="13"/>
      <c r="K116" s="13"/>
      <c r="L116" s="13"/>
    </row>
    <row r="117" spans="1:12">
      <c r="A117" s="77"/>
      <c r="B117" s="261"/>
      <c r="C117" s="261"/>
      <c r="D117" s="261"/>
      <c r="E117" s="261"/>
      <c r="F117" s="261"/>
      <c r="G117" s="261"/>
      <c r="H117" s="261"/>
      <c r="J117" s="13"/>
      <c r="K117" s="13"/>
      <c r="L117" s="13"/>
    </row>
    <row r="118" spans="1:12">
      <c r="A118" s="77"/>
      <c r="B118" s="261"/>
      <c r="C118" s="261"/>
      <c r="D118" s="261"/>
      <c r="E118" s="261"/>
      <c r="F118" s="261"/>
      <c r="G118" s="261"/>
      <c r="H118" s="261"/>
      <c r="J118" s="13"/>
      <c r="K118" s="13"/>
      <c r="L118" s="13"/>
    </row>
    <row r="119" spans="1:12">
      <c r="A119" s="79" t="s">
        <v>140</v>
      </c>
      <c r="B119" s="77"/>
      <c r="C119" s="77"/>
      <c r="D119" s="77"/>
      <c r="E119" s="77"/>
      <c r="F119" s="77"/>
      <c r="G119" s="77"/>
      <c r="H119" s="77"/>
    </row>
    <row r="120" spans="1:12">
      <c r="A120" s="77" t="str">
        <f t="shared" ref="A120:A141" si="19">A68</f>
        <v>Soybean</v>
      </c>
      <c r="B120" s="165">
        <f t="shared" ref="B120:H129" si="20">B68-(B68*$G$6)</f>
        <v>0</v>
      </c>
      <c r="C120" s="165">
        <f t="shared" si="20"/>
        <v>0</v>
      </c>
      <c r="D120" s="165">
        <f t="shared" si="20"/>
        <v>0</v>
      </c>
      <c r="E120" s="165">
        <f t="shared" si="20"/>
        <v>0</v>
      </c>
      <c r="F120" s="165">
        <f t="shared" si="20"/>
        <v>0</v>
      </c>
      <c r="G120" s="165">
        <f t="shared" si="20"/>
        <v>0</v>
      </c>
      <c r="H120" s="165">
        <f t="shared" si="20"/>
        <v>0</v>
      </c>
    </row>
    <row r="121" spans="1:12">
      <c r="A121" s="77" t="str">
        <f t="shared" si="19"/>
        <v>Red Gram/Tur</v>
      </c>
      <c r="B121" s="165">
        <f t="shared" si="20"/>
        <v>5.6583786000000014E-5</v>
      </c>
      <c r="C121" s="165">
        <f t="shared" si="20"/>
        <v>3.5364866250000004E-5</v>
      </c>
      <c r="D121" s="165">
        <f t="shared" si="20"/>
        <v>3.5364866250000004E-5</v>
      </c>
      <c r="E121" s="165">
        <f t="shared" si="20"/>
        <v>3.5364866250000004E-5</v>
      </c>
      <c r="F121" s="165">
        <f t="shared" si="20"/>
        <v>3.5364866250000004E-5</v>
      </c>
      <c r="G121" s="165">
        <f t="shared" si="20"/>
        <v>3.5364866250000004E-5</v>
      </c>
      <c r="H121" s="165">
        <f t="shared" si="20"/>
        <v>3.5364866250000004E-5</v>
      </c>
    </row>
    <row r="122" spans="1:12">
      <c r="A122" s="77" t="str">
        <f t="shared" si="19"/>
        <v>Paddy/Rice</v>
      </c>
      <c r="B122" s="165">
        <f t="shared" si="20"/>
        <v>0</v>
      </c>
      <c r="C122" s="165">
        <f t="shared" si="20"/>
        <v>0</v>
      </c>
      <c r="D122" s="165">
        <f t="shared" si="20"/>
        <v>0</v>
      </c>
      <c r="E122" s="165">
        <f t="shared" si="20"/>
        <v>0</v>
      </c>
      <c r="F122" s="165">
        <f t="shared" si="20"/>
        <v>0</v>
      </c>
      <c r="G122" s="165">
        <f t="shared" si="20"/>
        <v>0</v>
      </c>
      <c r="H122" s="165">
        <f t="shared" si="20"/>
        <v>0</v>
      </c>
    </row>
    <row r="123" spans="1:12">
      <c r="A123" s="77" t="str">
        <f t="shared" si="19"/>
        <v>Green Gram/ Moong</v>
      </c>
      <c r="B123" s="165">
        <f t="shared" si="20"/>
        <v>7.7827523200000006E-5</v>
      </c>
      <c r="C123" s="165">
        <f t="shared" si="20"/>
        <v>4.8642201999999999E-5</v>
      </c>
      <c r="D123" s="165">
        <f t="shared" si="20"/>
        <v>4.8642201999999999E-5</v>
      </c>
      <c r="E123" s="165">
        <f t="shared" si="20"/>
        <v>4.8642201999999999E-5</v>
      </c>
      <c r="F123" s="165">
        <f t="shared" si="20"/>
        <v>4.8642201999999999E-5</v>
      </c>
      <c r="G123" s="165">
        <f t="shared" si="20"/>
        <v>4.8642201999999999E-5</v>
      </c>
      <c r="H123" s="165">
        <f t="shared" si="20"/>
        <v>4.8642201999999999E-5</v>
      </c>
    </row>
    <row r="124" spans="1:12">
      <c r="A124" s="77" t="str">
        <f t="shared" si="19"/>
        <v>Maize</v>
      </c>
      <c r="B124" s="165">
        <f t="shared" si="20"/>
        <v>0</v>
      </c>
      <c r="C124" s="165">
        <f t="shared" si="20"/>
        <v>0</v>
      </c>
      <c r="D124" s="165">
        <f t="shared" si="20"/>
        <v>0</v>
      </c>
      <c r="E124" s="165">
        <f t="shared" si="20"/>
        <v>0</v>
      </c>
      <c r="F124" s="165">
        <f t="shared" si="20"/>
        <v>0</v>
      </c>
      <c r="G124" s="165">
        <f t="shared" si="20"/>
        <v>0</v>
      </c>
      <c r="H124" s="165">
        <f t="shared" si="20"/>
        <v>0</v>
      </c>
    </row>
    <row r="125" spans="1:12">
      <c r="A125" s="77" t="str">
        <f t="shared" si="19"/>
        <v>Black Gram/Udid</v>
      </c>
      <c r="B125" s="165">
        <f t="shared" si="20"/>
        <v>7.1474256000000007E-5</v>
      </c>
      <c r="C125" s="165">
        <f t="shared" si="20"/>
        <v>4.4671410000000001E-5</v>
      </c>
      <c r="D125" s="165">
        <f t="shared" si="20"/>
        <v>4.4671410000000001E-5</v>
      </c>
      <c r="E125" s="165">
        <f t="shared" si="20"/>
        <v>4.4671410000000001E-5</v>
      </c>
      <c r="F125" s="165">
        <f t="shared" si="20"/>
        <v>4.4671410000000001E-5</v>
      </c>
      <c r="G125" s="165">
        <f t="shared" si="20"/>
        <v>4.4671410000000001E-5</v>
      </c>
      <c r="H125" s="165">
        <f t="shared" si="20"/>
        <v>4.4671410000000001E-5</v>
      </c>
    </row>
    <row r="126" spans="1:12">
      <c r="A126" s="77" t="str">
        <f t="shared" si="19"/>
        <v>Bajra</v>
      </c>
      <c r="B126" s="165">
        <f t="shared" si="20"/>
        <v>0</v>
      </c>
      <c r="C126" s="165">
        <f t="shared" si="20"/>
        <v>0</v>
      </c>
      <c r="D126" s="165">
        <f t="shared" si="20"/>
        <v>0</v>
      </c>
      <c r="E126" s="165">
        <f t="shared" si="20"/>
        <v>0</v>
      </c>
      <c r="F126" s="165">
        <f t="shared" si="20"/>
        <v>0</v>
      </c>
      <c r="G126" s="165">
        <f t="shared" si="20"/>
        <v>0</v>
      </c>
      <c r="H126" s="165">
        <f t="shared" si="20"/>
        <v>0</v>
      </c>
    </row>
    <row r="127" spans="1:12">
      <c r="A127" s="77" t="str">
        <f t="shared" si="19"/>
        <v>Jawar</v>
      </c>
      <c r="B127" s="165">
        <f t="shared" si="20"/>
        <v>0</v>
      </c>
      <c r="C127" s="165">
        <f t="shared" si="20"/>
        <v>0</v>
      </c>
      <c r="D127" s="165">
        <f t="shared" si="20"/>
        <v>0</v>
      </c>
      <c r="E127" s="165">
        <f t="shared" si="20"/>
        <v>0</v>
      </c>
      <c r="F127" s="165">
        <f t="shared" si="20"/>
        <v>0</v>
      </c>
      <c r="G127" s="165">
        <f t="shared" si="20"/>
        <v>0</v>
      </c>
      <c r="H127" s="165">
        <f t="shared" si="20"/>
        <v>0</v>
      </c>
    </row>
    <row r="128" spans="1:12">
      <c r="A128" s="77" t="str">
        <f t="shared" si="19"/>
        <v>Sunflower</v>
      </c>
      <c r="B128" s="165">
        <f t="shared" si="20"/>
        <v>0</v>
      </c>
      <c r="C128" s="165">
        <f t="shared" si="20"/>
        <v>0</v>
      </c>
      <c r="D128" s="165">
        <f t="shared" si="20"/>
        <v>0</v>
      </c>
      <c r="E128" s="165">
        <f t="shared" si="20"/>
        <v>0</v>
      </c>
      <c r="F128" s="165">
        <f t="shared" si="20"/>
        <v>0</v>
      </c>
      <c r="G128" s="165">
        <f t="shared" si="20"/>
        <v>0</v>
      </c>
      <c r="H128" s="165">
        <f t="shared" si="20"/>
        <v>0</v>
      </c>
    </row>
    <row r="129" spans="1:8">
      <c r="A129" s="77" t="str">
        <f t="shared" si="19"/>
        <v>Wheat</v>
      </c>
      <c r="B129" s="165">
        <f t="shared" si="20"/>
        <v>0</v>
      </c>
      <c r="C129" s="165">
        <f t="shared" si="20"/>
        <v>0</v>
      </c>
      <c r="D129" s="165">
        <f t="shared" si="20"/>
        <v>0</v>
      </c>
      <c r="E129" s="165">
        <f t="shared" si="20"/>
        <v>0</v>
      </c>
      <c r="F129" s="165">
        <f t="shared" si="20"/>
        <v>0</v>
      </c>
      <c r="G129" s="165">
        <f t="shared" si="20"/>
        <v>0</v>
      </c>
      <c r="H129" s="165">
        <f t="shared" si="20"/>
        <v>0</v>
      </c>
    </row>
    <row r="130" spans="1:8">
      <c r="A130" s="77" t="str">
        <f t="shared" si="19"/>
        <v>Bengal Gram/Channa</v>
      </c>
      <c r="B130" s="165">
        <f t="shared" ref="B130:H139" si="21">B78-(B78*$G$6)</f>
        <v>1.0777864E-4</v>
      </c>
      <c r="C130" s="165">
        <f t="shared" si="21"/>
        <v>6.7361649999999999E-5</v>
      </c>
      <c r="D130" s="165">
        <f t="shared" si="21"/>
        <v>6.7361649999999999E-5</v>
      </c>
      <c r="E130" s="165">
        <f t="shared" si="21"/>
        <v>6.7361649999999999E-5</v>
      </c>
      <c r="F130" s="165">
        <f t="shared" si="21"/>
        <v>6.7361649999999999E-5</v>
      </c>
      <c r="G130" s="165">
        <f t="shared" si="21"/>
        <v>6.7361649999999999E-5</v>
      </c>
      <c r="H130" s="165">
        <f t="shared" si="21"/>
        <v>6.7361649999999999E-5</v>
      </c>
    </row>
    <row r="131" spans="1:8">
      <c r="A131" s="77" t="str">
        <f t="shared" si="19"/>
        <v>Jawar</v>
      </c>
      <c r="B131" s="165">
        <f t="shared" si="21"/>
        <v>0</v>
      </c>
      <c r="C131" s="165">
        <f t="shared" si="21"/>
        <v>0</v>
      </c>
      <c r="D131" s="165">
        <f t="shared" si="21"/>
        <v>0</v>
      </c>
      <c r="E131" s="165">
        <f t="shared" si="21"/>
        <v>0</v>
      </c>
      <c r="F131" s="165">
        <f t="shared" si="21"/>
        <v>0</v>
      </c>
      <c r="G131" s="165">
        <f t="shared" si="21"/>
        <v>0</v>
      </c>
      <c r="H131" s="165">
        <f t="shared" si="21"/>
        <v>0</v>
      </c>
    </row>
    <row r="132" spans="1:8">
      <c r="A132" s="77" t="str">
        <f t="shared" si="19"/>
        <v>Maize</v>
      </c>
      <c r="B132" s="165">
        <f t="shared" si="21"/>
        <v>0</v>
      </c>
      <c r="C132" s="165">
        <f t="shared" si="21"/>
        <v>0</v>
      </c>
      <c r="D132" s="165">
        <f t="shared" si="21"/>
        <v>0</v>
      </c>
      <c r="E132" s="165">
        <f t="shared" si="21"/>
        <v>0</v>
      </c>
      <c r="F132" s="165">
        <f t="shared" si="21"/>
        <v>0</v>
      </c>
      <c r="G132" s="165">
        <f t="shared" si="21"/>
        <v>0</v>
      </c>
      <c r="H132" s="165">
        <f t="shared" si="21"/>
        <v>0</v>
      </c>
    </row>
    <row r="133" spans="1:8">
      <c r="A133" s="77" t="str">
        <f t="shared" si="19"/>
        <v>Safflower</v>
      </c>
      <c r="B133" s="165">
        <f t="shared" si="21"/>
        <v>0</v>
      </c>
      <c r="C133" s="165">
        <f t="shared" si="21"/>
        <v>0</v>
      </c>
      <c r="D133" s="165">
        <f t="shared" si="21"/>
        <v>0</v>
      </c>
      <c r="E133" s="165">
        <f t="shared" si="21"/>
        <v>0</v>
      </c>
      <c r="F133" s="165">
        <f t="shared" si="21"/>
        <v>0</v>
      </c>
      <c r="G133" s="165">
        <f t="shared" si="21"/>
        <v>0</v>
      </c>
      <c r="H133" s="165">
        <f t="shared" si="21"/>
        <v>0</v>
      </c>
    </row>
    <row r="134" spans="1:8">
      <c r="A134" s="77">
        <f t="shared" si="19"/>
        <v>0</v>
      </c>
      <c r="B134" s="165">
        <f t="shared" si="21"/>
        <v>0</v>
      </c>
      <c r="C134" s="165">
        <f t="shared" si="21"/>
        <v>0</v>
      </c>
      <c r="D134" s="165">
        <f t="shared" si="21"/>
        <v>0</v>
      </c>
      <c r="E134" s="165">
        <f t="shared" si="21"/>
        <v>0</v>
      </c>
      <c r="F134" s="165">
        <f t="shared" si="21"/>
        <v>0</v>
      </c>
      <c r="G134" s="165">
        <f t="shared" si="21"/>
        <v>0</v>
      </c>
      <c r="H134" s="165">
        <f t="shared" si="21"/>
        <v>0</v>
      </c>
    </row>
    <row r="135" spans="1:8">
      <c r="A135" s="77">
        <f t="shared" si="19"/>
        <v>0</v>
      </c>
      <c r="B135" s="165">
        <f t="shared" si="21"/>
        <v>0</v>
      </c>
      <c r="C135" s="165">
        <f t="shared" si="21"/>
        <v>0</v>
      </c>
      <c r="D135" s="165">
        <f t="shared" si="21"/>
        <v>0</v>
      </c>
      <c r="E135" s="165">
        <f t="shared" si="21"/>
        <v>0</v>
      </c>
      <c r="F135" s="165">
        <f t="shared" si="21"/>
        <v>0</v>
      </c>
      <c r="G135" s="165">
        <f t="shared" si="21"/>
        <v>0</v>
      </c>
      <c r="H135" s="165">
        <f t="shared" si="21"/>
        <v>0</v>
      </c>
    </row>
    <row r="136" spans="1:8">
      <c r="A136" s="77">
        <f t="shared" si="19"/>
        <v>0</v>
      </c>
      <c r="B136" s="165">
        <f t="shared" si="21"/>
        <v>0</v>
      </c>
      <c r="C136" s="165">
        <f t="shared" si="21"/>
        <v>0</v>
      </c>
      <c r="D136" s="165">
        <f t="shared" si="21"/>
        <v>0</v>
      </c>
      <c r="E136" s="165">
        <f t="shared" si="21"/>
        <v>0</v>
      </c>
      <c r="F136" s="165">
        <f t="shared" si="21"/>
        <v>0</v>
      </c>
      <c r="G136" s="165">
        <f t="shared" si="21"/>
        <v>0</v>
      </c>
      <c r="H136" s="165">
        <f t="shared" si="21"/>
        <v>0</v>
      </c>
    </row>
    <row r="137" spans="1:8">
      <c r="A137" s="77" t="str">
        <f t="shared" si="19"/>
        <v>Groundnut</v>
      </c>
      <c r="B137" s="165">
        <f t="shared" si="21"/>
        <v>0</v>
      </c>
      <c r="C137" s="165">
        <f t="shared" si="21"/>
        <v>0</v>
      </c>
      <c r="D137" s="165">
        <f t="shared" si="21"/>
        <v>0</v>
      </c>
      <c r="E137" s="165">
        <f t="shared" si="21"/>
        <v>0</v>
      </c>
      <c r="F137" s="165">
        <f t="shared" si="21"/>
        <v>0</v>
      </c>
      <c r="G137" s="165">
        <f t="shared" si="21"/>
        <v>0</v>
      </c>
      <c r="H137" s="165">
        <f t="shared" si="21"/>
        <v>0</v>
      </c>
    </row>
    <row r="138" spans="1:8">
      <c r="A138" s="77">
        <f t="shared" si="19"/>
        <v>0</v>
      </c>
      <c r="B138" s="165">
        <f t="shared" si="21"/>
        <v>0</v>
      </c>
      <c r="C138" s="165">
        <f t="shared" si="21"/>
        <v>0</v>
      </c>
      <c r="D138" s="165">
        <f t="shared" si="21"/>
        <v>0</v>
      </c>
      <c r="E138" s="165">
        <f t="shared" si="21"/>
        <v>0</v>
      </c>
      <c r="F138" s="165">
        <f t="shared" si="21"/>
        <v>0</v>
      </c>
      <c r="G138" s="165">
        <f t="shared" si="21"/>
        <v>0</v>
      </c>
      <c r="H138" s="165">
        <f t="shared" si="21"/>
        <v>0</v>
      </c>
    </row>
    <row r="139" spans="1:8">
      <c r="A139" s="77">
        <f t="shared" si="19"/>
        <v>0</v>
      </c>
      <c r="B139" s="165">
        <f t="shared" si="21"/>
        <v>0</v>
      </c>
      <c r="C139" s="165">
        <f t="shared" si="21"/>
        <v>0</v>
      </c>
      <c r="D139" s="165">
        <f t="shared" si="21"/>
        <v>0</v>
      </c>
      <c r="E139" s="165">
        <f t="shared" si="21"/>
        <v>0</v>
      </c>
      <c r="F139" s="165">
        <f t="shared" si="21"/>
        <v>0</v>
      </c>
      <c r="G139" s="165">
        <f t="shared" si="21"/>
        <v>0</v>
      </c>
      <c r="H139" s="165">
        <f t="shared" si="21"/>
        <v>0</v>
      </c>
    </row>
    <row r="140" spans="1:8">
      <c r="A140" s="77">
        <f t="shared" si="19"/>
        <v>0</v>
      </c>
      <c r="B140" s="165">
        <f t="shared" ref="B140:H141" si="22">B88-(B88*$G$6)</f>
        <v>0</v>
      </c>
      <c r="C140" s="165">
        <f t="shared" si="22"/>
        <v>0</v>
      </c>
      <c r="D140" s="165">
        <f t="shared" si="22"/>
        <v>0</v>
      </c>
      <c r="E140" s="165">
        <f t="shared" si="22"/>
        <v>0</v>
      </c>
      <c r="F140" s="165">
        <f t="shared" si="22"/>
        <v>0</v>
      </c>
      <c r="G140" s="165">
        <f t="shared" si="22"/>
        <v>0</v>
      </c>
      <c r="H140" s="165">
        <f t="shared" si="22"/>
        <v>0</v>
      </c>
    </row>
    <row r="141" spans="1:8">
      <c r="A141" s="77">
        <f t="shared" si="19"/>
        <v>0</v>
      </c>
      <c r="B141" s="165">
        <f t="shared" si="22"/>
        <v>0</v>
      </c>
      <c r="C141" s="165">
        <f t="shared" si="22"/>
        <v>0</v>
      </c>
      <c r="D141" s="165">
        <f t="shared" si="22"/>
        <v>0</v>
      </c>
      <c r="E141" s="165">
        <f t="shared" si="22"/>
        <v>0</v>
      </c>
      <c r="F141" s="165">
        <f t="shared" si="22"/>
        <v>0</v>
      </c>
      <c r="G141" s="165">
        <f t="shared" si="22"/>
        <v>0</v>
      </c>
      <c r="H141" s="165">
        <f t="shared" si="22"/>
        <v>0</v>
      </c>
    </row>
    <row r="142" spans="1:8">
      <c r="A142" s="77"/>
      <c r="B142" s="165"/>
      <c r="C142" s="165"/>
      <c r="D142" s="165"/>
      <c r="E142" s="165"/>
      <c r="F142" s="165"/>
      <c r="G142" s="165"/>
      <c r="H142" s="165"/>
    </row>
    <row r="143" spans="1:8">
      <c r="A143" s="79" t="str">
        <f t="shared" ref="A143:A161" si="23">A91</f>
        <v>Fruit  &amp; Vegetables Crop Production Details</v>
      </c>
      <c r="B143" s="165"/>
      <c r="C143" s="165"/>
      <c r="D143" s="165"/>
      <c r="E143" s="165"/>
      <c r="F143" s="165"/>
      <c r="G143" s="165"/>
      <c r="H143" s="165"/>
    </row>
    <row r="144" spans="1:8">
      <c r="A144" s="77" t="str">
        <f t="shared" si="23"/>
        <v>Onion</v>
      </c>
      <c r="B144" s="165">
        <f t="shared" ref="B144:H153" si="24">B92-(B92*$G$7)</f>
        <v>0</v>
      </c>
      <c r="C144" s="165">
        <f t="shared" si="24"/>
        <v>0</v>
      </c>
      <c r="D144" s="165">
        <f t="shared" si="24"/>
        <v>0</v>
      </c>
      <c r="E144" s="165">
        <f t="shared" si="24"/>
        <v>0</v>
      </c>
      <c r="F144" s="165">
        <f t="shared" si="24"/>
        <v>0</v>
      </c>
      <c r="G144" s="165">
        <f t="shared" si="24"/>
        <v>0</v>
      </c>
      <c r="H144" s="165">
        <f t="shared" si="24"/>
        <v>0</v>
      </c>
    </row>
    <row r="145" spans="1:8">
      <c r="A145" s="77" t="str">
        <f t="shared" si="23"/>
        <v>Tomato</v>
      </c>
      <c r="B145" s="165">
        <f t="shared" si="24"/>
        <v>0</v>
      </c>
      <c r="C145" s="165">
        <f t="shared" si="24"/>
        <v>0</v>
      </c>
      <c r="D145" s="165">
        <f t="shared" si="24"/>
        <v>0</v>
      </c>
      <c r="E145" s="165">
        <f t="shared" si="24"/>
        <v>0</v>
      </c>
      <c r="F145" s="165">
        <f t="shared" si="24"/>
        <v>0</v>
      </c>
      <c r="G145" s="165">
        <f t="shared" si="24"/>
        <v>0</v>
      </c>
      <c r="H145" s="165">
        <f t="shared" si="24"/>
        <v>0</v>
      </c>
    </row>
    <row r="146" spans="1:8">
      <c r="A146" s="77" t="str">
        <f t="shared" si="23"/>
        <v>Okra</v>
      </c>
      <c r="B146" s="165">
        <f t="shared" si="24"/>
        <v>0</v>
      </c>
      <c r="C146" s="165">
        <f t="shared" si="24"/>
        <v>0</v>
      </c>
      <c r="D146" s="165">
        <f t="shared" si="24"/>
        <v>0</v>
      </c>
      <c r="E146" s="165">
        <f t="shared" si="24"/>
        <v>0</v>
      </c>
      <c r="F146" s="165">
        <f t="shared" si="24"/>
        <v>0</v>
      </c>
      <c r="G146" s="165">
        <f t="shared" si="24"/>
        <v>0</v>
      </c>
      <c r="H146" s="165">
        <f t="shared" si="24"/>
        <v>0</v>
      </c>
    </row>
    <row r="147" spans="1:8">
      <c r="A147" s="77" t="str">
        <f t="shared" si="23"/>
        <v>Chilli</v>
      </c>
      <c r="B147" s="165">
        <f t="shared" si="24"/>
        <v>0</v>
      </c>
      <c r="C147" s="165">
        <f t="shared" si="24"/>
        <v>0</v>
      </c>
      <c r="D147" s="165">
        <f t="shared" si="24"/>
        <v>0</v>
      </c>
      <c r="E147" s="165">
        <f t="shared" si="24"/>
        <v>0</v>
      </c>
      <c r="F147" s="165">
        <f t="shared" si="24"/>
        <v>0</v>
      </c>
      <c r="G147" s="165">
        <f t="shared" si="24"/>
        <v>0</v>
      </c>
      <c r="H147" s="165">
        <f t="shared" si="24"/>
        <v>0</v>
      </c>
    </row>
    <row r="148" spans="1:8">
      <c r="A148" s="77" t="str">
        <f t="shared" si="23"/>
        <v>Potato</v>
      </c>
      <c r="B148" s="165">
        <f t="shared" si="24"/>
        <v>0</v>
      </c>
      <c r="C148" s="165">
        <f t="shared" si="24"/>
        <v>0</v>
      </c>
      <c r="D148" s="165">
        <f t="shared" si="24"/>
        <v>0</v>
      </c>
      <c r="E148" s="165">
        <f t="shared" si="24"/>
        <v>0</v>
      </c>
      <c r="F148" s="165">
        <f t="shared" si="24"/>
        <v>0</v>
      </c>
      <c r="G148" s="165">
        <f t="shared" si="24"/>
        <v>0</v>
      </c>
      <c r="H148" s="165">
        <f t="shared" si="24"/>
        <v>0</v>
      </c>
    </row>
    <row r="149" spans="1:8">
      <c r="A149" s="77">
        <f t="shared" si="23"/>
        <v>0</v>
      </c>
      <c r="B149" s="165">
        <f t="shared" si="24"/>
        <v>0</v>
      </c>
      <c r="C149" s="165">
        <f t="shared" si="24"/>
        <v>0</v>
      </c>
      <c r="D149" s="165">
        <f t="shared" si="24"/>
        <v>0</v>
      </c>
      <c r="E149" s="165">
        <f t="shared" si="24"/>
        <v>0</v>
      </c>
      <c r="F149" s="165">
        <f t="shared" si="24"/>
        <v>0</v>
      </c>
      <c r="G149" s="165">
        <f t="shared" si="24"/>
        <v>0</v>
      </c>
      <c r="H149" s="165">
        <f t="shared" si="24"/>
        <v>0</v>
      </c>
    </row>
    <row r="150" spans="1:8">
      <c r="A150" s="77">
        <f t="shared" si="23"/>
        <v>0</v>
      </c>
      <c r="B150" s="165">
        <f t="shared" si="24"/>
        <v>0</v>
      </c>
      <c r="C150" s="165">
        <f t="shared" si="24"/>
        <v>0</v>
      </c>
      <c r="D150" s="165">
        <f t="shared" si="24"/>
        <v>0</v>
      </c>
      <c r="E150" s="165">
        <f t="shared" si="24"/>
        <v>0</v>
      </c>
      <c r="F150" s="165">
        <f t="shared" si="24"/>
        <v>0</v>
      </c>
      <c r="G150" s="165">
        <f t="shared" si="24"/>
        <v>0</v>
      </c>
      <c r="H150" s="165">
        <f t="shared" si="24"/>
        <v>0</v>
      </c>
    </row>
    <row r="151" spans="1:8">
      <c r="A151" s="77">
        <f t="shared" si="23"/>
        <v>0</v>
      </c>
      <c r="B151" s="165">
        <f t="shared" si="24"/>
        <v>0</v>
      </c>
      <c r="C151" s="165">
        <f t="shared" si="24"/>
        <v>0</v>
      </c>
      <c r="D151" s="165">
        <f t="shared" si="24"/>
        <v>0</v>
      </c>
      <c r="E151" s="165">
        <f t="shared" si="24"/>
        <v>0</v>
      </c>
      <c r="F151" s="165">
        <f t="shared" si="24"/>
        <v>0</v>
      </c>
      <c r="G151" s="165">
        <f t="shared" si="24"/>
        <v>0</v>
      </c>
      <c r="H151" s="165">
        <f t="shared" si="24"/>
        <v>0</v>
      </c>
    </row>
    <row r="152" spans="1:8">
      <c r="A152" s="77">
        <f t="shared" si="23"/>
        <v>0</v>
      </c>
      <c r="B152" s="165">
        <f t="shared" si="24"/>
        <v>0</v>
      </c>
      <c r="C152" s="165">
        <f t="shared" si="24"/>
        <v>0</v>
      </c>
      <c r="D152" s="165">
        <f t="shared" si="24"/>
        <v>0</v>
      </c>
      <c r="E152" s="165">
        <f t="shared" si="24"/>
        <v>0</v>
      </c>
      <c r="F152" s="165">
        <f t="shared" si="24"/>
        <v>0</v>
      </c>
      <c r="G152" s="165">
        <f t="shared" si="24"/>
        <v>0</v>
      </c>
      <c r="H152" s="165">
        <f t="shared" si="24"/>
        <v>0</v>
      </c>
    </row>
    <row r="153" spans="1:8">
      <c r="A153" s="77" t="str">
        <f t="shared" si="23"/>
        <v>Onion</v>
      </c>
      <c r="B153" s="165">
        <f t="shared" si="24"/>
        <v>0</v>
      </c>
      <c r="C153" s="165">
        <f t="shared" si="24"/>
        <v>0</v>
      </c>
      <c r="D153" s="165">
        <f t="shared" si="24"/>
        <v>0</v>
      </c>
      <c r="E153" s="165">
        <f t="shared" si="24"/>
        <v>0</v>
      </c>
      <c r="F153" s="165">
        <f t="shared" si="24"/>
        <v>0</v>
      </c>
      <c r="G153" s="165">
        <f t="shared" si="24"/>
        <v>0</v>
      </c>
      <c r="H153" s="165">
        <f t="shared" si="24"/>
        <v>0</v>
      </c>
    </row>
    <row r="154" spans="1:8">
      <c r="A154" s="77" t="str">
        <f t="shared" si="23"/>
        <v>Tomato</v>
      </c>
      <c r="B154" s="165">
        <f t="shared" ref="B154:H161" si="25">B102-(B102*$G$7)</f>
        <v>0</v>
      </c>
      <c r="C154" s="165">
        <f t="shared" si="25"/>
        <v>0</v>
      </c>
      <c r="D154" s="165">
        <f t="shared" si="25"/>
        <v>0</v>
      </c>
      <c r="E154" s="165">
        <f t="shared" si="25"/>
        <v>0</v>
      </c>
      <c r="F154" s="165">
        <f t="shared" si="25"/>
        <v>0</v>
      </c>
      <c r="G154" s="165">
        <f t="shared" si="25"/>
        <v>0</v>
      </c>
      <c r="H154" s="165">
        <f t="shared" si="25"/>
        <v>0</v>
      </c>
    </row>
    <row r="155" spans="1:8">
      <c r="A155" s="77" t="str">
        <f t="shared" si="23"/>
        <v>Okra</v>
      </c>
      <c r="B155" s="165">
        <f t="shared" si="25"/>
        <v>0</v>
      </c>
      <c r="C155" s="165">
        <f t="shared" si="25"/>
        <v>0</v>
      </c>
      <c r="D155" s="165">
        <f t="shared" si="25"/>
        <v>0</v>
      </c>
      <c r="E155" s="165">
        <f t="shared" si="25"/>
        <v>0</v>
      </c>
      <c r="F155" s="165">
        <f t="shared" si="25"/>
        <v>0</v>
      </c>
      <c r="G155" s="165">
        <f t="shared" si="25"/>
        <v>0</v>
      </c>
      <c r="H155" s="165">
        <f t="shared" si="25"/>
        <v>0</v>
      </c>
    </row>
    <row r="156" spans="1:8">
      <c r="A156" s="77" t="str">
        <f t="shared" si="23"/>
        <v>Chilli</v>
      </c>
      <c r="B156" s="165">
        <f t="shared" si="25"/>
        <v>0</v>
      </c>
      <c r="C156" s="165">
        <f t="shared" si="25"/>
        <v>0</v>
      </c>
      <c r="D156" s="165">
        <f t="shared" si="25"/>
        <v>0</v>
      </c>
      <c r="E156" s="165">
        <f t="shared" si="25"/>
        <v>0</v>
      </c>
      <c r="F156" s="165">
        <f t="shared" si="25"/>
        <v>0</v>
      </c>
      <c r="G156" s="165">
        <f t="shared" si="25"/>
        <v>0</v>
      </c>
      <c r="H156" s="165">
        <f t="shared" si="25"/>
        <v>0</v>
      </c>
    </row>
    <row r="157" spans="1:8">
      <c r="A157" s="77" t="str">
        <f t="shared" si="23"/>
        <v>Brinjal</v>
      </c>
      <c r="B157" s="165">
        <f t="shared" si="25"/>
        <v>0</v>
      </c>
      <c r="C157" s="165">
        <f t="shared" si="25"/>
        <v>0</v>
      </c>
      <c r="D157" s="165">
        <f t="shared" si="25"/>
        <v>0</v>
      </c>
      <c r="E157" s="165">
        <f t="shared" si="25"/>
        <v>0</v>
      </c>
      <c r="F157" s="165">
        <f t="shared" si="25"/>
        <v>0</v>
      </c>
      <c r="G157" s="165">
        <f t="shared" si="25"/>
        <v>0</v>
      </c>
      <c r="H157" s="165">
        <f t="shared" si="25"/>
        <v>0</v>
      </c>
    </row>
    <row r="158" spans="1:8">
      <c r="A158" s="77">
        <f t="shared" si="23"/>
        <v>0</v>
      </c>
      <c r="B158" s="165">
        <f t="shared" si="25"/>
        <v>0</v>
      </c>
      <c r="C158" s="165">
        <f t="shared" si="25"/>
        <v>0</v>
      </c>
      <c r="D158" s="165">
        <f t="shared" si="25"/>
        <v>0</v>
      </c>
      <c r="E158" s="165">
        <f t="shared" si="25"/>
        <v>0</v>
      </c>
      <c r="F158" s="165">
        <f t="shared" si="25"/>
        <v>0</v>
      </c>
      <c r="G158" s="165">
        <f t="shared" si="25"/>
        <v>0</v>
      </c>
      <c r="H158" s="165">
        <f t="shared" si="25"/>
        <v>0</v>
      </c>
    </row>
    <row r="159" spans="1:8">
      <c r="A159" s="77">
        <f t="shared" si="23"/>
        <v>0</v>
      </c>
      <c r="B159" s="165">
        <f t="shared" si="25"/>
        <v>0</v>
      </c>
      <c r="C159" s="165">
        <f t="shared" si="25"/>
        <v>0</v>
      </c>
      <c r="D159" s="165">
        <f t="shared" si="25"/>
        <v>0</v>
      </c>
      <c r="E159" s="165">
        <f t="shared" si="25"/>
        <v>0</v>
      </c>
      <c r="F159" s="165">
        <f t="shared" si="25"/>
        <v>0</v>
      </c>
      <c r="G159" s="165">
        <f t="shared" si="25"/>
        <v>0</v>
      </c>
      <c r="H159" s="165">
        <f t="shared" si="25"/>
        <v>0</v>
      </c>
    </row>
    <row r="160" spans="1:8">
      <c r="A160" s="77">
        <f t="shared" si="23"/>
        <v>0</v>
      </c>
      <c r="B160" s="165">
        <f t="shared" si="25"/>
        <v>0</v>
      </c>
      <c r="C160" s="165">
        <f t="shared" si="25"/>
        <v>0</v>
      </c>
      <c r="D160" s="165">
        <f t="shared" si="25"/>
        <v>0</v>
      </c>
      <c r="E160" s="165">
        <f t="shared" si="25"/>
        <v>0</v>
      </c>
      <c r="F160" s="165">
        <f t="shared" si="25"/>
        <v>0</v>
      </c>
      <c r="G160" s="165">
        <f t="shared" si="25"/>
        <v>0</v>
      </c>
      <c r="H160" s="165">
        <f t="shared" si="25"/>
        <v>0</v>
      </c>
    </row>
    <row r="161" spans="1:20">
      <c r="A161" s="77">
        <f t="shared" si="23"/>
        <v>0</v>
      </c>
      <c r="B161" s="165">
        <f t="shared" si="25"/>
        <v>0</v>
      </c>
      <c r="C161" s="165">
        <f t="shared" si="25"/>
        <v>0</v>
      </c>
      <c r="D161" s="165">
        <f t="shared" si="25"/>
        <v>0</v>
      </c>
      <c r="E161" s="165">
        <f t="shared" si="25"/>
        <v>0</v>
      </c>
      <c r="F161" s="165">
        <f t="shared" si="25"/>
        <v>0</v>
      </c>
      <c r="G161" s="165">
        <f t="shared" si="25"/>
        <v>0</v>
      </c>
      <c r="H161" s="165">
        <f t="shared" si="25"/>
        <v>0</v>
      </c>
    </row>
    <row r="162" spans="1:20">
      <c r="A162" s="77">
        <f t="shared" ref="A162:A165" si="26">A110</f>
        <v>0</v>
      </c>
      <c r="B162" s="165">
        <f t="shared" ref="B162:H162" si="27">B110-(B110*$G$7)</f>
        <v>0</v>
      </c>
      <c r="C162" s="165">
        <f t="shared" si="27"/>
        <v>0</v>
      </c>
      <c r="D162" s="165">
        <f t="shared" si="27"/>
        <v>0</v>
      </c>
      <c r="E162" s="165">
        <f t="shared" si="27"/>
        <v>0</v>
      </c>
      <c r="F162" s="165">
        <f t="shared" si="27"/>
        <v>0</v>
      </c>
      <c r="G162" s="165">
        <f t="shared" si="27"/>
        <v>0</v>
      </c>
      <c r="H162" s="165">
        <f t="shared" si="27"/>
        <v>0</v>
      </c>
    </row>
    <row r="163" spans="1:20">
      <c r="A163" s="77">
        <f t="shared" si="26"/>
        <v>0</v>
      </c>
      <c r="B163" s="165">
        <f t="shared" ref="B163:H163" si="28">B111-(B111*$G$7)</f>
        <v>0</v>
      </c>
      <c r="C163" s="165">
        <f t="shared" si="28"/>
        <v>0</v>
      </c>
      <c r="D163" s="165">
        <f t="shared" si="28"/>
        <v>0</v>
      </c>
      <c r="E163" s="165">
        <f t="shared" si="28"/>
        <v>0</v>
      </c>
      <c r="F163" s="165">
        <f t="shared" si="28"/>
        <v>0</v>
      </c>
      <c r="G163" s="165">
        <f t="shared" si="28"/>
        <v>0</v>
      </c>
      <c r="H163" s="165">
        <f t="shared" si="28"/>
        <v>0</v>
      </c>
    </row>
    <row r="164" spans="1:20">
      <c r="A164" s="77">
        <f t="shared" si="26"/>
        <v>0</v>
      </c>
      <c r="B164" s="165">
        <f t="shared" ref="B164:H165" si="29">B112-(B112*$G$7)</f>
        <v>0</v>
      </c>
      <c r="C164" s="165">
        <f t="shared" si="29"/>
        <v>0</v>
      </c>
      <c r="D164" s="165">
        <f t="shared" si="29"/>
        <v>0</v>
      </c>
      <c r="E164" s="165">
        <f t="shared" si="29"/>
        <v>0</v>
      </c>
      <c r="F164" s="165">
        <f t="shared" si="29"/>
        <v>0</v>
      </c>
      <c r="G164" s="165">
        <f t="shared" si="29"/>
        <v>0</v>
      </c>
      <c r="H164" s="165">
        <f t="shared" si="29"/>
        <v>0</v>
      </c>
    </row>
    <row r="165" spans="1:20">
      <c r="A165" s="77" t="str">
        <f t="shared" si="26"/>
        <v>Pomegranate</v>
      </c>
      <c r="B165" s="165">
        <f t="shared" si="29"/>
        <v>0</v>
      </c>
      <c r="C165" s="165">
        <f t="shared" ref="C165:H168" si="30">C113-(C113*$G$7)</f>
        <v>0</v>
      </c>
      <c r="D165" s="165">
        <f t="shared" si="30"/>
        <v>0</v>
      </c>
      <c r="E165" s="165">
        <f t="shared" si="30"/>
        <v>0</v>
      </c>
      <c r="F165" s="165">
        <f t="shared" si="30"/>
        <v>0</v>
      </c>
      <c r="G165" s="165">
        <f t="shared" si="30"/>
        <v>0</v>
      </c>
      <c r="H165" s="165">
        <f t="shared" si="30"/>
        <v>0</v>
      </c>
    </row>
    <row r="166" spans="1:20">
      <c r="A166" s="77" t="str">
        <f>A114</f>
        <v>Custard Apple</v>
      </c>
      <c r="B166" s="165">
        <f>B114-(B114*$G$7)</f>
        <v>0</v>
      </c>
      <c r="C166" s="165">
        <f t="shared" si="30"/>
        <v>0</v>
      </c>
      <c r="D166" s="165">
        <f t="shared" si="30"/>
        <v>0</v>
      </c>
      <c r="E166" s="165">
        <f t="shared" si="30"/>
        <v>0</v>
      </c>
      <c r="F166" s="165">
        <f t="shared" si="30"/>
        <v>0</v>
      </c>
      <c r="G166" s="165">
        <f t="shared" si="30"/>
        <v>0</v>
      </c>
      <c r="H166" s="165">
        <f t="shared" si="30"/>
        <v>0</v>
      </c>
    </row>
    <row r="167" spans="1:20">
      <c r="A167" s="77" t="str">
        <f>A115</f>
        <v>Guava</v>
      </c>
      <c r="B167" s="165">
        <f>B115-(B115*$G$7)</f>
        <v>0</v>
      </c>
      <c r="C167" s="165">
        <f t="shared" si="30"/>
        <v>0</v>
      </c>
      <c r="D167" s="165">
        <f t="shared" si="30"/>
        <v>0</v>
      </c>
      <c r="E167" s="165">
        <f t="shared" si="30"/>
        <v>0</v>
      </c>
      <c r="F167" s="165">
        <f t="shared" si="30"/>
        <v>0</v>
      </c>
      <c r="G167" s="165">
        <f t="shared" si="30"/>
        <v>0</v>
      </c>
      <c r="H167" s="165">
        <f t="shared" si="30"/>
        <v>0</v>
      </c>
    </row>
    <row r="168" spans="1:20">
      <c r="A168" s="77" t="str">
        <f>A116</f>
        <v>Citrus</v>
      </c>
      <c r="B168" s="165">
        <f>B116-(B116*$G$7)</f>
        <v>0</v>
      </c>
      <c r="C168" s="165">
        <f t="shared" si="30"/>
        <v>0</v>
      </c>
      <c r="D168" s="165">
        <f t="shared" si="30"/>
        <v>0</v>
      </c>
      <c r="E168" s="165">
        <f t="shared" si="30"/>
        <v>0</v>
      </c>
      <c r="F168" s="165">
        <f t="shared" si="30"/>
        <v>0</v>
      </c>
      <c r="G168" s="165">
        <f t="shared" si="30"/>
        <v>0</v>
      </c>
      <c r="H168" s="165">
        <f t="shared" si="30"/>
        <v>0</v>
      </c>
    </row>
    <row r="169" spans="1:20">
      <c r="A169" s="76"/>
    </row>
    <row r="170" spans="1:20" ht="18.75">
      <c r="A170" s="362" t="s">
        <v>591</v>
      </c>
      <c r="B170" s="362"/>
      <c r="C170" s="362"/>
      <c r="D170" s="362"/>
      <c r="E170" s="362"/>
      <c r="F170" s="362"/>
      <c r="G170" s="362"/>
      <c r="H170" s="362"/>
      <c r="I170" s="362"/>
      <c r="J170" s="362"/>
    </row>
    <row r="171" spans="1:20">
      <c r="A171" s="12"/>
      <c r="B171" s="12"/>
      <c r="C171" s="12"/>
      <c r="D171" s="12"/>
      <c r="E171" s="12"/>
      <c r="F171" s="12"/>
      <c r="G171" s="12"/>
      <c r="H171" s="12"/>
    </row>
    <row r="172" spans="1:20">
      <c r="A172" s="166"/>
      <c r="B172" s="166"/>
      <c r="C172" s="166"/>
      <c r="D172" s="167">
        <v>1</v>
      </c>
      <c r="E172" s="168">
        <f>(D172*5%)+D172</f>
        <v>1.05</v>
      </c>
      <c r="F172" s="168">
        <f t="shared" ref="F172:J172" si="31">(E172*5%)+E172</f>
        <v>1.1025</v>
      </c>
      <c r="G172" s="168">
        <f t="shared" si="31"/>
        <v>1.1576250000000001</v>
      </c>
      <c r="H172" s="168">
        <f t="shared" si="31"/>
        <v>1.2155062500000002</v>
      </c>
      <c r="I172" s="168">
        <f t="shared" si="31"/>
        <v>1.2762815625000004</v>
      </c>
      <c r="J172" s="168">
        <f t="shared" si="31"/>
        <v>1.3400956406250004</v>
      </c>
      <c r="K172" s="76"/>
      <c r="L172" s="76"/>
      <c r="M172" s="76"/>
      <c r="N172" s="76"/>
      <c r="O172" s="76"/>
      <c r="P172" s="76"/>
      <c r="Q172" s="76"/>
      <c r="R172" s="76"/>
      <c r="S172" s="76"/>
      <c r="T172" s="76"/>
    </row>
    <row r="173" spans="1:20">
      <c r="A173" s="76"/>
      <c r="B173" s="76"/>
      <c r="C173" s="76"/>
      <c r="D173" s="76"/>
      <c r="E173" s="76"/>
      <c r="F173" s="76"/>
      <c r="G173" s="76"/>
      <c r="H173" s="76"/>
      <c r="I173" s="76"/>
      <c r="J173" s="76"/>
      <c r="K173" s="76"/>
      <c r="L173" s="76"/>
      <c r="M173" s="76"/>
      <c r="N173" s="76"/>
      <c r="O173" s="76"/>
      <c r="P173" s="76"/>
      <c r="Q173" s="76"/>
      <c r="R173" s="76"/>
      <c r="S173" s="76"/>
      <c r="T173" s="76"/>
    </row>
    <row r="174" spans="1:20">
      <c r="A174" s="76"/>
      <c r="B174" s="76"/>
      <c r="C174" s="76"/>
      <c r="D174" s="158"/>
      <c r="E174" s="158"/>
      <c r="F174" s="158"/>
      <c r="G174" s="158"/>
      <c r="H174" s="158"/>
      <c r="I174" s="158"/>
      <c r="J174" s="158"/>
      <c r="K174" s="76"/>
      <c r="L174" s="76"/>
    </row>
    <row r="175" spans="1:20">
      <c r="A175" s="67" t="s">
        <v>0</v>
      </c>
      <c r="B175" s="67"/>
      <c r="C175" s="67" t="s">
        <v>152</v>
      </c>
      <c r="D175" s="68" t="s">
        <v>2</v>
      </c>
      <c r="E175" s="68" t="s">
        <v>3</v>
      </c>
      <c r="F175" s="68" t="s">
        <v>4</v>
      </c>
      <c r="G175" s="68" t="s">
        <v>5</v>
      </c>
      <c r="H175" s="68" t="s">
        <v>6</v>
      </c>
      <c r="I175" s="68" t="s">
        <v>169</v>
      </c>
      <c r="J175" s="68" t="s">
        <v>168</v>
      </c>
      <c r="K175" s="76"/>
      <c r="L175" s="76"/>
    </row>
    <row r="176" spans="1:20">
      <c r="A176" s="79"/>
      <c r="B176" s="79"/>
      <c r="C176" s="79"/>
      <c r="D176" s="77"/>
      <c r="E176" s="77"/>
      <c r="F176" s="77"/>
      <c r="G176" s="77"/>
      <c r="H176" s="77"/>
      <c r="I176" s="77"/>
      <c r="J176" s="77"/>
      <c r="K176" s="76"/>
      <c r="L176" s="76"/>
    </row>
    <row r="177" spans="1:12">
      <c r="A177" s="79" t="s">
        <v>127</v>
      </c>
      <c r="B177" s="79"/>
      <c r="C177" s="79"/>
      <c r="D177" s="77"/>
      <c r="E177" s="77"/>
      <c r="F177" s="77"/>
      <c r="G177" s="77"/>
      <c r="H177" s="77"/>
      <c r="I177" s="77"/>
      <c r="J177" s="77"/>
      <c r="K177" s="76"/>
      <c r="L177" s="76"/>
    </row>
    <row r="178" spans="1:12" hidden="1">
      <c r="A178" s="77" t="str">
        <f t="shared" ref="A178:A198" si="32">A120</f>
        <v>Soybean</v>
      </c>
      <c r="B178" s="77" t="s">
        <v>365</v>
      </c>
      <c r="C178" s="229">
        <v>5000</v>
      </c>
      <c r="D178" s="171">
        <f>(B120*(1-'5.Closing Stock &amp; W Capital'!$D$16))*C$178*D172</f>
        <v>0</v>
      </c>
      <c r="E178" s="171">
        <f>((C120*(1-'5.Closing Stock &amp; W Capital'!$D$16))+(B120*'5.Closing Stock &amp; W Capital'!$D$16))*$C178*E$172</f>
        <v>0</v>
      </c>
      <c r="F178" s="171">
        <f>((D120*(1-'5.Closing Stock &amp; W Capital'!$D$16))+(C120*'5.Closing Stock &amp; W Capital'!$D$16))*$C178*F$172</f>
        <v>0</v>
      </c>
      <c r="G178" s="171">
        <f>((E120*(1-'5.Closing Stock &amp; W Capital'!$D$16))+(D120*'5.Closing Stock &amp; W Capital'!$D$16))*$C178*G$172</f>
        <v>0</v>
      </c>
      <c r="H178" s="171">
        <f>((F120*(1-'5.Closing Stock &amp; W Capital'!$D$16))+(E120*'5.Closing Stock &amp; W Capital'!$D$16))*$C178*H$172</f>
        <v>0</v>
      </c>
      <c r="I178" s="171">
        <f>((G120*(1-'5.Closing Stock &amp; W Capital'!$D$16))+(F120*'5.Closing Stock &amp; W Capital'!$D$16))*$C178*I$172</f>
        <v>0</v>
      </c>
      <c r="J178" s="171">
        <f>((H120*(1-'5.Closing Stock &amp; W Capital'!$D$16))+(G120*'5.Closing Stock &amp; W Capital'!$D$16))*$C178*J$172</f>
        <v>0</v>
      </c>
      <c r="K178" s="76"/>
      <c r="L178" s="76"/>
    </row>
    <row r="179" spans="1:12" hidden="1">
      <c r="A179" s="77" t="str">
        <f t="shared" si="32"/>
        <v>Red Gram/Tur</v>
      </c>
      <c r="B179" s="77" t="s">
        <v>365</v>
      </c>
      <c r="C179" s="229">
        <v>7000</v>
      </c>
      <c r="D179" s="171">
        <f>(B121*(1-'5.Closing Stock &amp; W Capital'!$D$16))*$C179*D$172</f>
        <v>0.3762821769000001</v>
      </c>
      <c r="E179" s="171">
        <f>((C121*(1-'5.Closing Stock &amp; W Capital'!$D$16))+(B121*'5.Closing Stock &amp; W Capital'!$D$16))*$C179*E$172</f>
        <v>0.267729719945625</v>
      </c>
      <c r="F179" s="171">
        <f>((D121*(1-'5.Closing Stock &amp; W Capital'!$D$16))+(C121*'5.Closing Stock &amp; W Capital'!$D$16))*$C179*F$172</f>
        <v>0.27292835528437498</v>
      </c>
      <c r="G179" s="171">
        <f>((E121*(1-'5.Closing Stock &amp; W Capital'!$D$16))+(D121*'5.Closing Stock &amp; W Capital'!$D$16))*$C179*G$172</f>
        <v>0.28657477304859375</v>
      </c>
      <c r="H179" s="171">
        <f>((F121*(1-'5.Closing Stock &amp; W Capital'!$D$16))+(E121*'5.Closing Stock &amp; W Capital'!$D$16))*$C179*H$172</f>
        <v>0.30090351170102347</v>
      </c>
      <c r="I179" s="171">
        <f>((G121*(1-'5.Closing Stock &amp; W Capital'!$D$16))+(F121*'5.Closing Stock &amp; W Capital'!$D$16))*$C179*I$172</f>
        <v>0.31594868728607467</v>
      </c>
      <c r="J179" s="171">
        <f>((H121*(1-'5.Closing Stock &amp; W Capital'!$D$16))+(G121*'5.Closing Stock &amp; W Capital'!$D$16))*$C179*J$172</f>
        <v>0.33174612165037842</v>
      </c>
      <c r="K179" s="76"/>
      <c r="L179" s="76"/>
    </row>
    <row r="180" spans="1:12" hidden="1">
      <c r="A180" s="77" t="str">
        <f t="shared" si="32"/>
        <v>Paddy/Rice</v>
      </c>
      <c r="B180" s="77" t="s">
        <v>365</v>
      </c>
      <c r="C180" s="229"/>
      <c r="D180" s="171">
        <f>(B122*(1-'5.Closing Stock &amp; W Capital'!$D$16))*$C180*D$172</f>
        <v>0</v>
      </c>
      <c r="E180" s="171">
        <f>((C122*(1-'5.Closing Stock &amp; W Capital'!$D$16))+(B122*'5.Closing Stock &amp; W Capital'!$D$16))*$C180*E$172</f>
        <v>0</v>
      </c>
      <c r="F180" s="171">
        <f>((D122*(1-'5.Closing Stock &amp; W Capital'!$D$16))+(C122*'5.Closing Stock &amp; W Capital'!$D$16))*$C180*F$172</f>
        <v>0</v>
      </c>
      <c r="G180" s="171">
        <f>((E122*(1-'5.Closing Stock &amp; W Capital'!$D$16))+(D122*'5.Closing Stock &amp; W Capital'!$D$16))*$C180*G$172</f>
        <v>0</v>
      </c>
      <c r="H180" s="171">
        <f>((F122*(1-'5.Closing Stock &amp; W Capital'!$D$16))+(E122*'5.Closing Stock &amp; W Capital'!$D$16))*$C180*H$172</f>
        <v>0</v>
      </c>
      <c r="I180" s="171">
        <f>((G122*(1-'5.Closing Stock &amp; W Capital'!$D$16))+(F122*'5.Closing Stock &amp; W Capital'!$D$16))*$C180*I$172</f>
        <v>0</v>
      </c>
      <c r="J180" s="171">
        <f>((H122*(1-'5.Closing Stock &amp; W Capital'!$D$16))+(G122*'5.Closing Stock &amp; W Capital'!$D$16))*$C180*J$172</f>
        <v>0</v>
      </c>
      <c r="K180" s="76"/>
      <c r="L180" s="76"/>
    </row>
    <row r="181" spans="1:12" hidden="1">
      <c r="A181" s="77" t="str">
        <f t="shared" si="32"/>
        <v>Green Gram/ Moong</v>
      </c>
      <c r="B181" s="77" t="s">
        <v>365</v>
      </c>
      <c r="C181" s="229">
        <v>6000</v>
      </c>
      <c r="D181" s="171">
        <f>(B123*(1-'5.Closing Stock &amp; W Capital'!$D$16))*$C181*D$172</f>
        <v>0.44361688224000001</v>
      </c>
      <c r="E181" s="171">
        <f>((C123*(1-'5.Closing Stock &amp; W Capital'!$D$16))+(B123*'5.Closing Stock &amp; W Capital'!$D$16))*$C181*E$172</f>
        <v>0.31563924877799998</v>
      </c>
      <c r="F181" s="171">
        <f>((D123*(1-'5.Closing Stock &amp; W Capital'!$D$16))+(C123*'5.Closing Stock &amp; W Capital'!$D$16))*$C181*F$172</f>
        <v>0.32176816622999999</v>
      </c>
      <c r="G181" s="171">
        <f>((E123*(1-'5.Closing Stock &amp; W Capital'!$D$16))+(D123*'5.Closing Stock &amp; W Capital'!$D$16))*$C181*G$172</f>
        <v>0.33785657454150003</v>
      </c>
      <c r="H181" s="171">
        <f>((F123*(1-'5.Closing Stock &amp; W Capital'!$D$16))+(E123*'5.Closing Stock &amp; W Capital'!$D$16))*$C181*H$172</f>
        <v>0.35474940326857501</v>
      </c>
      <c r="I181" s="171">
        <f>((G123*(1-'5.Closing Stock &amp; W Capital'!$D$16))+(F123*'5.Closing Stock &amp; W Capital'!$D$16))*$C181*I$172</f>
        <v>0.37248687343200382</v>
      </c>
      <c r="J181" s="171">
        <f>((H123*(1-'5.Closing Stock &amp; W Capital'!$D$16))+(G123*'5.Closing Stock &amp; W Capital'!$D$16))*$C181*J$172</f>
        <v>0.39111121710360403</v>
      </c>
      <c r="K181" s="76"/>
      <c r="L181" s="76"/>
    </row>
    <row r="182" spans="1:12" hidden="1">
      <c r="A182" s="77" t="str">
        <f t="shared" si="32"/>
        <v>Maize</v>
      </c>
      <c r="B182" s="77" t="s">
        <v>365</v>
      </c>
      <c r="C182" s="229">
        <v>1950</v>
      </c>
      <c r="D182" s="171">
        <f>(B124*(1-'5.Closing Stock &amp; W Capital'!$D$16))*$C182*D$172</f>
        <v>0</v>
      </c>
      <c r="E182" s="171">
        <f>((C124*(1-'5.Closing Stock &amp; W Capital'!$D$16))+(B124*'5.Closing Stock &amp; W Capital'!$D$16))*$C182*E$172</f>
        <v>0</v>
      </c>
      <c r="F182" s="171">
        <f>((D124*(1-'5.Closing Stock &amp; W Capital'!$D$16))+(C124*'5.Closing Stock &amp; W Capital'!$D$16))*$C182*F$172</f>
        <v>0</v>
      </c>
      <c r="G182" s="171">
        <f>((E124*(1-'5.Closing Stock &amp; W Capital'!$D$16))+(D124*'5.Closing Stock &amp; W Capital'!$D$16))*$C182*G$172</f>
        <v>0</v>
      </c>
      <c r="H182" s="171">
        <f>((F124*(1-'5.Closing Stock &amp; W Capital'!$D$16))+(E124*'5.Closing Stock &amp; W Capital'!$D$16))*$C182*H$172</f>
        <v>0</v>
      </c>
      <c r="I182" s="171">
        <f>((G124*(1-'5.Closing Stock &amp; W Capital'!$D$16))+(F124*'5.Closing Stock &amp; W Capital'!$D$16))*$C182*I$172</f>
        <v>0</v>
      </c>
      <c r="J182" s="171">
        <f>((H124*(1-'5.Closing Stock &amp; W Capital'!$D$16))+(G124*'5.Closing Stock &amp; W Capital'!$D$16))*$C182*J$172</f>
        <v>0</v>
      </c>
      <c r="K182" s="76"/>
      <c r="L182" s="76"/>
    </row>
    <row r="183" spans="1:12" hidden="1">
      <c r="A183" s="77" t="str">
        <f t="shared" si="32"/>
        <v>Black Gram/Udid</v>
      </c>
      <c r="B183" s="77" t="s">
        <v>365</v>
      </c>
      <c r="C183" s="229">
        <v>6500</v>
      </c>
      <c r="D183" s="171">
        <f>(B125*(1-'5.Closing Stock &amp; W Capital'!$D$16))*$C183*D$172</f>
        <v>0.44135353080000006</v>
      </c>
      <c r="E183" s="171">
        <f>((C125*(1-'5.Closing Stock &amp; W Capital'!$D$16))+(B125*'5.Closing Stock &amp; W Capital'!$D$16))*$C183*E$172</f>
        <v>0.31402884444750007</v>
      </c>
      <c r="F183" s="171">
        <f>((D125*(1-'5.Closing Stock &amp; W Capital'!$D$16))+(C125*'5.Closing Stock &amp; W Capital'!$D$16))*$C183*F$172</f>
        <v>0.32012649191250003</v>
      </c>
      <c r="G183" s="171">
        <f>((E125*(1-'5.Closing Stock &amp; W Capital'!$D$16))+(D125*'5.Closing Stock &amp; W Capital'!$D$16))*$C183*G$172</f>
        <v>0.33613281650812504</v>
      </c>
      <c r="H183" s="171">
        <f>((F125*(1-'5.Closing Stock &amp; W Capital'!$D$16))+(E125*'5.Closing Stock &amp; W Capital'!$D$16))*$C183*H$172</f>
        <v>0.35293945733353133</v>
      </c>
      <c r="I183" s="171">
        <f>((G125*(1-'5.Closing Stock &amp; W Capital'!$D$16))+(F125*'5.Closing Stock &amp; W Capital'!$D$16))*$C183*I$172</f>
        <v>0.37058643020020793</v>
      </c>
      <c r="J183" s="171">
        <f>((H125*(1-'5.Closing Stock &amp; W Capital'!$D$16))+(G125*'5.Closing Stock &amp; W Capital'!$D$16))*$C183*J$172</f>
        <v>0.38911575171021834</v>
      </c>
      <c r="K183" s="76"/>
      <c r="L183" s="76"/>
    </row>
    <row r="184" spans="1:12" hidden="1">
      <c r="A184" s="77" t="str">
        <f t="shared" si="32"/>
        <v>Bajra</v>
      </c>
      <c r="B184" s="77" t="s">
        <v>365</v>
      </c>
      <c r="C184" s="229">
        <v>2000</v>
      </c>
      <c r="D184" s="171">
        <f>(B126*(1-'5.Closing Stock &amp; W Capital'!$D$16))*$C184*D$172</f>
        <v>0</v>
      </c>
      <c r="E184" s="171">
        <f>((C126*(1-'5.Closing Stock &amp; W Capital'!$D$16))+(B126*'5.Closing Stock &amp; W Capital'!$D$16))*$C184*E$172</f>
        <v>0</v>
      </c>
      <c r="F184" s="171">
        <f>((D126*(1-'5.Closing Stock &amp; W Capital'!$D$16))+(C126*'5.Closing Stock &amp; W Capital'!$D$16))*$C184*F$172</f>
        <v>0</v>
      </c>
      <c r="G184" s="171">
        <f>((E126*(1-'5.Closing Stock &amp; W Capital'!$D$16))+(D126*'5.Closing Stock &amp; W Capital'!$D$16))*$C184*G$172</f>
        <v>0</v>
      </c>
      <c r="H184" s="171">
        <f>((F126*(1-'5.Closing Stock &amp; W Capital'!$D$16))+(E126*'5.Closing Stock &amp; W Capital'!$D$16))*$C184*H$172</f>
        <v>0</v>
      </c>
      <c r="I184" s="171">
        <f>((G126*(1-'5.Closing Stock &amp; W Capital'!$D$16))+(F126*'5.Closing Stock &amp; W Capital'!$D$16))*$C184*I$172</f>
        <v>0</v>
      </c>
      <c r="J184" s="171">
        <f>((H126*(1-'5.Closing Stock &amp; W Capital'!$D$16))+(G126*'5.Closing Stock &amp; W Capital'!$D$16))*$C184*J$172</f>
        <v>0</v>
      </c>
      <c r="K184" s="76"/>
      <c r="L184" s="76"/>
    </row>
    <row r="185" spans="1:12" hidden="1">
      <c r="A185" s="77" t="str">
        <f t="shared" si="32"/>
        <v>Jawar</v>
      </c>
      <c r="B185" s="77" t="s">
        <v>365</v>
      </c>
      <c r="C185" s="229"/>
      <c r="D185" s="171">
        <f>(B127*(1-'5.Closing Stock &amp; W Capital'!$D$16))*$C185*D$172</f>
        <v>0</v>
      </c>
      <c r="E185" s="171">
        <f>((C127*(1-'5.Closing Stock &amp; W Capital'!$D$16))+(B127*'5.Closing Stock &amp; W Capital'!$D$16))*$C185*E$172</f>
        <v>0</v>
      </c>
      <c r="F185" s="171">
        <f>((D127*(1-'5.Closing Stock &amp; W Capital'!$D$16))+(C127*'5.Closing Stock &amp; W Capital'!$D$16))*$C185*F$172</f>
        <v>0</v>
      </c>
      <c r="G185" s="171">
        <f>((E127*(1-'5.Closing Stock &amp; W Capital'!$D$16))+(D127*'5.Closing Stock &amp; W Capital'!$D$16))*$C185*G$172</f>
        <v>0</v>
      </c>
      <c r="H185" s="171">
        <f>((F127*(1-'5.Closing Stock &amp; W Capital'!$D$16))+(E127*'5.Closing Stock &amp; W Capital'!$D$16))*$C185*H$172</f>
        <v>0</v>
      </c>
      <c r="I185" s="171">
        <f>((G127*(1-'5.Closing Stock &amp; W Capital'!$D$16))+(F127*'5.Closing Stock &amp; W Capital'!$D$16))*$C185*I$172</f>
        <v>0</v>
      </c>
      <c r="J185" s="171">
        <f>((H127*(1-'5.Closing Stock &amp; W Capital'!$D$16))+(G127*'5.Closing Stock &amp; W Capital'!$D$16))*$C185*J$172</f>
        <v>0</v>
      </c>
      <c r="K185" s="76"/>
      <c r="L185" s="76"/>
    </row>
    <row r="186" spans="1:12" hidden="1">
      <c r="A186" s="77" t="str">
        <f t="shared" si="32"/>
        <v>Sunflower</v>
      </c>
      <c r="B186" s="77" t="s">
        <v>365</v>
      </c>
      <c r="C186" s="229"/>
      <c r="D186" s="171">
        <f>(B128*(1-'5.Closing Stock &amp; W Capital'!$D$16))*$C186*D$172</f>
        <v>0</v>
      </c>
      <c r="E186" s="171">
        <f>((C128*(1-'5.Closing Stock &amp; W Capital'!$D$16))+(B128*'5.Closing Stock &amp; W Capital'!$D$16))*$C186*E$172</f>
        <v>0</v>
      </c>
      <c r="F186" s="171">
        <f>((D128*(1-'5.Closing Stock &amp; W Capital'!$D$16))+(C128*'5.Closing Stock &amp; W Capital'!$D$16))*$C186*F$172</f>
        <v>0</v>
      </c>
      <c r="G186" s="171">
        <f>((E128*(1-'5.Closing Stock &amp; W Capital'!$D$16))+(D128*'5.Closing Stock &amp; W Capital'!$D$16))*$C186*G$172</f>
        <v>0</v>
      </c>
      <c r="H186" s="171">
        <f>((F128*(1-'5.Closing Stock &amp; W Capital'!$D$16))+(E128*'5.Closing Stock &amp; W Capital'!$D$16))*$C186*H$172</f>
        <v>0</v>
      </c>
      <c r="I186" s="171">
        <f>((G128*(1-'5.Closing Stock &amp; W Capital'!$D$16))+(F128*'5.Closing Stock &amp; W Capital'!$D$16))*$C186*I$172</f>
        <v>0</v>
      </c>
      <c r="J186" s="171">
        <f>((H128*(1-'5.Closing Stock &amp; W Capital'!$D$16))+(G128*'5.Closing Stock &amp; W Capital'!$D$16))*$C186*J$172</f>
        <v>0</v>
      </c>
      <c r="K186" s="76"/>
      <c r="L186" s="76"/>
    </row>
    <row r="187" spans="1:12" hidden="1">
      <c r="A187" s="77" t="str">
        <f t="shared" si="32"/>
        <v>Wheat</v>
      </c>
      <c r="B187" s="77" t="s">
        <v>365</v>
      </c>
      <c r="C187" s="229">
        <v>2200</v>
      </c>
      <c r="D187" s="171">
        <f>(B129*(1-'5.Closing Stock &amp; W Capital'!$D$16))*$C187*D$172</f>
        <v>0</v>
      </c>
      <c r="E187" s="171">
        <f>((C129*(1-'5.Closing Stock &amp; W Capital'!$D$16))+(B129*'5.Closing Stock &amp; W Capital'!$D$16))*$C187*E$172</f>
        <v>0</v>
      </c>
      <c r="F187" s="171">
        <f>((D129*(1-'5.Closing Stock &amp; W Capital'!$D$16))+(C129*'5.Closing Stock &amp; W Capital'!$D$16))*$C187*F$172</f>
        <v>0</v>
      </c>
      <c r="G187" s="171">
        <f>((E129*(1-'5.Closing Stock &amp; W Capital'!$D$16))+(D129*'5.Closing Stock &amp; W Capital'!$D$16))*$C187*G$172</f>
        <v>0</v>
      </c>
      <c r="H187" s="171">
        <f>((F129*(1-'5.Closing Stock &amp; W Capital'!$D$16))+(E129*'5.Closing Stock &amp; W Capital'!$D$16))*$C187*H$172</f>
        <v>0</v>
      </c>
      <c r="I187" s="171">
        <f>((G129*(1-'5.Closing Stock &amp; W Capital'!$D$16))+(F129*'5.Closing Stock &amp; W Capital'!$D$16))*$C187*I$172</f>
        <v>0</v>
      </c>
      <c r="J187" s="171">
        <f>((H129*(1-'5.Closing Stock &amp; W Capital'!$D$16))+(G129*'5.Closing Stock &amp; W Capital'!$D$16))*$C187*J$172</f>
        <v>0</v>
      </c>
      <c r="K187" s="76"/>
      <c r="L187" s="76"/>
    </row>
    <row r="188" spans="1:12">
      <c r="A188" s="77" t="s">
        <v>163</v>
      </c>
      <c r="B188" s="77" t="s">
        <v>365</v>
      </c>
      <c r="C188" s="229">
        <v>5000</v>
      </c>
      <c r="D188" s="171"/>
      <c r="E188" s="171"/>
      <c r="F188" s="171"/>
      <c r="G188" s="171"/>
      <c r="H188" s="171"/>
      <c r="I188" s="171"/>
      <c r="J188" s="171"/>
      <c r="K188" s="76"/>
      <c r="L188" s="76"/>
    </row>
    <row r="189" spans="1:12">
      <c r="A189" s="77" t="str">
        <f t="shared" si="32"/>
        <v>Jawar</v>
      </c>
      <c r="B189" s="77" t="s">
        <v>365</v>
      </c>
      <c r="C189" s="229"/>
      <c r="D189" s="171"/>
      <c r="E189" s="171"/>
      <c r="F189" s="171"/>
      <c r="G189" s="171"/>
      <c r="H189" s="171"/>
      <c r="I189" s="171"/>
      <c r="J189" s="171"/>
      <c r="K189" s="76"/>
      <c r="L189" s="76"/>
    </row>
    <row r="190" spans="1:12">
      <c r="A190" s="77" t="str">
        <f t="shared" si="32"/>
        <v>Maize</v>
      </c>
      <c r="B190" s="77" t="s">
        <v>365</v>
      </c>
      <c r="C190" s="229">
        <v>1800</v>
      </c>
      <c r="D190" s="171"/>
      <c r="E190" s="171"/>
      <c r="F190" s="171"/>
      <c r="G190" s="171"/>
      <c r="H190" s="171"/>
      <c r="I190" s="171"/>
      <c r="J190" s="171"/>
      <c r="K190" s="76"/>
      <c r="L190" s="76"/>
    </row>
    <row r="191" spans="1:12">
      <c r="A191" s="77" t="str">
        <f t="shared" si="32"/>
        <v>Safflower</v>
      </c>
      <c r="B191" s="77" t="s">
        <v>365</v>
      </c>
      <c r="C191" s="229"/>
      <c r="D191" s="171"/>
      <c r="E191" s="171"/>
      <c r="F191" s="171"/>
      <c r="G191" s="171"/>
      <c r="H191" s="171"/>
      <c r="I191" s="171"/>
      <c r="J191" s="171"/>
      <c r="K191" s="76"/>
      <c r="L191" s="76"/>
    </row>
    <row r="192" spans="1:12">
      <c r="A192" s="77">
        <f t="shared" si="32"/>
        <v>0</v>
      </c>
      <c r="B192" s="77" t="s">
        <v>365</v>
      </c>
      <c r="C192" s="229"/>
      <c r="D192" s="171"/>
      <c r="E192" s="171"/>
      <c r="F192" s="171"/>
      <c r="G192" s="171"/>
      <c r="H192" s="171"/>
      <c r="I192" s="171"/>
      <c r="J192" s="171"/>
      <c r="K192" s="76"/>
      <c r="L192" s="76"/>
    </row>
    <row r="193" spans="1:12">
      <c r="A193" s="77">
        <f t="shared" si="32"/>
        <v>0</v>
      </c>
      <c r="B193" s="77" t="s">
        <v>365</v>
      </c>
      <c r="C193" s="229"/>
      <c r="D193" s="171"/>
      <c r="E193" s="171"/>
      <c r="F193" s="171"/>
      <c r="G193" s="171"/>
      <c r="H193" s="171"/>
      <c r="I193" s="171"/>
      <c r="J193" s="171"/>
      <c r="K193" s="76"/>
      <c r="L193" s="76"/>
    </row>
    <row r="194" spans="1:12">
      <c r="A194" s="77">
        <f t="shared" si="32"/>
        <v>0</v>
      </c>
      <c r="B194" s="77" t="s">
        <v>365</v>
      </c>
      <c r="C194" s="229"/>
      <c r="D194" s="171"/>
      <c r="E194" s="171"/>
      <c r="F194" s="171"/>
      <c r="G194" s="171"/>
      <c r="H194" s="171"/>
      <c r="I194" s="171"/>
      <c r="J194" s="171"/>
      <c r="K194" s="76"/>
      <c r="L194" s="76"/>
    </row>
    <row r="195" spans="1:12">
      <c r="A195" s="77" t="str">
        <f t="shared" si="32"/>
        <v>Groundnut</v>
      </c>
      <c r="B195" s="77" t="s">
        <v>365</v>
      </c>
      <c r="C195" s="229"/>
      <c r="D195" s="171"/>
      <c r="E195" s="171"/>
      <c r="F195" s="171"/>
      <c r="G195" s="171"/>
      <c r="H195" s="171"/>
      <c r="I195" s="171"/>
      <c r="J195" s="171"/>
      <c r="K195" s="76"/>
      <c r="L195" s="76"/>
    </row>
    <row r="196" spans="1:12">
      <c r="A196" s="77">
        <f t="shared" si="32"/>
        <v>0</v>
      </c>
      <c r="B196" s="77" t="s">
        <v>365</v>
      </c>
      <c r="C196" s="229"/>
      <c r="D196" s="171"/>
      <c r="E196" s="171"/>
      <c r="F196" s="171"/>
      <c r="G196" s="171"/>
      <c r="H196" s="171"/>
      <c r="I196" s="171"/>
      <c r="J196" s="171"/>
      <c r="K196" s="76"/>
      <c r="L196" s="76"/>
    </row>
    <row r="197" spans="1:12">
      <c r="A197" s="77">
        <f t="shared" si="32"/>
        <v>0</v>
      </c>
      <c r="B197" s="77" t="s">
        <v>365</v>
      </c>
      <c r="C197" s="229"/>
      <c r="D197" s="171"/>
      <c r="E197" s="171"/>
      <c r="F197" s="171"/>
      <c r="G197" s="171"/>
      <c r="H197" s="171"/>
      <c r="I197" s="171"/>
      <c r="J197" s="171"/>
      <c r="K197" s="76"/>
      <c r="L197" s="76"/>
    </row>
    <row r="198" spans="1:12">
      <c r="A198" s="77">
        <f t="shared" si="32"/>
        <v>0</v>
      </c>
      <c r="B198" s="77" t="s">
        <v>365</v>
      </c>
      <c r="C198" s="229"/>
      <c r="D198" s="171"/>
      <c r="E198" s="171"/>
      <c r="F198" s="171"/>
      <c r="G198" s="171"/>
      <c r="H198" s="171"/>
      <c r="I198" s="171"/>
      <c r="J198" s="171"/>
      <c r="K198" s="76"/>
      <c r="L198" s="76"/>
    </row>
    <row r="199" spans="1:12">
      <c r="A199" s="77"/>
      <c r="B199" s="77" t="s">
        <v>365</v>
      </c>
      <c r="C199" s="229"/>
      <c r="D199" s="171"/>
      <c r="E199" s="171"/>
      <c r="F199" s="171"/>
      <c r="G199" s="171"/>
      <c r="H199" s="171"/>
      <c r="I199" s="171"/>
      <c r="J199" s="171"/>
      <c r="K199" s="76"/>
      <c r="L199" s="76"/>
    </row>
    <row r="200" spans="1:12">
      <c r="A200" s="79" t="s">
        <v>294</v>
      </c>
      <c r="B200" s="77" t="s">
        <v>365</v>
      </c>
      <c r="C200" s="206">
        <v>50</v>
      </c>
      <c r="D200" s="171"/>
      <c r="E200" s="171"/>
      <c r="F200" s="171"/>
      <c r="G200" s="171"/>
      <c r="H200" s="171"/>
      <c r="I200" s="171"/>
      <c r="J200" s="171"/>
      <c r="K200" s="76"/>
      <c r="L200" s="76"/>
    </row>
    <row r="201" spans="1:12">
      <c r="A201" s="79"/>
      <c r="B201" s="79"/>
      <c r="C201" s="79"/>
      <c r="D201" s="77"/>
      <c r="E201" s="77"/>
      <c r="F201" s="77"/>
      <c r="G201" s="77"/>
      <c r="H201" s="77"/>
      <c r="I201" s="77"/>
      <c r="J201" s="77"/>
      <c r="K201" s="76"/>
      <c r="L201" s="76"/>
    </row>
    <row r="202" spans="1:12" hidden="1">
      <c r="A202" s="79" t="str">
        <f t="shared" ref="A202:A220" si="33">A143</f>
        <v>Fruit  &amp; Vegetables Crop Production Details</v>
      </c>
      <c r="B202" s="79"/>
      <c r="C202" s="79"/>
      <c r="D202" s="77"/>
      <c r="E202" s="77"/>
      <c r="F202" s="77"/>
      <c r="G202" s="77"/>
      <c r="H202" s="77"/>
      <c r="I202" s="77"/>
      <c r="J202" s="77"/>
      <c r="K202" s="76"/>
      <c r="L202" s="76"/>
    </row>
    <row r="203" spans="1:12" hidden="1">
      <c r="A203" s="79" t="str">
        <f t="shared" si="33"/>
        <v>Onion</v>
      </c>
      <c r="B203" s="77" t="s">
        <v>365</v>
      </c>
      <c r="C203" s="296">
        <v>2000</v>
      </c>
      <c r="D203" s="171"/>
      <c r="E203" s="171"/>
      <c r="F203" s="171"/>
      <c r="G203" s="171"/>
      <c r="H203" s="171"/>
      <c r="I203" s="171"/>
      <c r="J203" s="171"/>
      <c r="K203" s="76"/>
      <c r="L203" s="76"/>
    </row>
    <row r="204" spans="1:12" hidden="1">
      <c r="A204" s="79" t="str">
        <f t="shared" si="33"/>
        <v>Tomato</v>
      </c>
      <c r="B204" s="77" t="s">
        <v>365</v>
      </c>
      <c r="C204" s="229">
        <v>1000</v>
      </c>
      <c r="D204" s="171"/>
      <c r="E204" s="171"/>
      <c r="F204" s="171"/>
      <c r="G204" s="171"/>
      <c r="H204" s="171"/>
      <c r="I204" s="171"/>
      <c r="J204" s="171"/>
      <c r="K204" s="76"/>
      <c r="L204" s="76"/>
    </row>
    <row r="205" spans="1:12" hidden="1">
      <c r="A205" s="79" t="str">
        <f t="shared" si="33"/>
        <v>Okra</v>
      </c>
      <c r="B205" s="77" t="s">
        <v>365</v>
      </c>
      <c r="C205" s="229">
        <v>1500</v>
      </c>
      <c r="D205" s="171"/>
      <c r="E205" s="171"/>
      <c r="F205" s="171"/>
      <c r="G205" s="171"/>
      <c r="H205" s="171"/>
      <c r="I205" s="171"/>
      <c r="J205" s="171"/>
      <c r="K205" s="76"/>
      <c r="L205" s="76"/>
    </row>
    <row r="206" spans="1:12" hidden="1">
      <c r="A206" s="79" t="str">
        <f t="shared" si="33"/>
        <v>Chilli</v>
      </c>
      <c r="B206" s="77" t="s">
        <v>365</v>
      </c>
      <c r="C206" s="229">
        <v>3000</v>
      </c>
      <c r="D206" s="171"/>
      <c r="E206" s="171"/>
      <c r="F206" s="171"/>
      <c r="G206" s="171"/>
      <c r="H206" s="171"/>
      <c r="I206" s="171"/>
      <c r="J206" s="171"/>
      <c r="K206" s="76"/>
      <c r="L206" s="76"/>
    </row>
    <row r="207" spans="1:12" hidden="1">
      <c r="A207" s="79" t="str">
        <f t="shared" si="33"/>
        <v>Potato</v>
      </c>
      <c r="B207" s="77" t="s">
        <v>365</v>
      </c>
      <c r="C207" s="229">
        <v>1500</v>
      </c>
      <c r="D207" s="171"/>
      <c r="E207" s="171"/>
      <c r="F207" s="171"/>
      <c r="G207" s="171"/>
      <c r="H207" s="171"/>
      <c r="I207" s="171"/>
      <c r="J207" s="171"/>
      <c r="K207" s="76"/>
      <c r="L207" s="76"/>
    </row>
    <row r="208" spans="1:12" hidden="1">
      <c r="A208" s="79">
        <f t="shared" si="33"/>
        <v>0</v>
      </c>
      <c r="B208" s="77" t="s">
        <v>365</v>
      </c>
      <c r="C208" s="206"/>
      <c r="D208" s="171"/>
      <c r="E208" s="171"/>
      <c r="F208" s="171"/>
      <c r="G208" s="171"/>
      <c r="H208" s="171"/>
      <c r="I208" s="171"/>
      <c r="J208" s="171"/>
      <c r="K208" s="76"/>
      <c r="L208" s="76"/>
    </row>
    <row r="209" spans="1:12" hidden="1">
      <c r="A209" s="79">
        <f t="shared" si="33"/>
        <v>0</v>
      </c>
      <c r="B209" s="77" t="s">
        <v>365</v>
      </c>
      <c r="C209" s="206"/>
      <c r="D209" s="171"/>
      <c r="E209" s="171"/>
      <c r="F209" s="171"/>
      <c r="G209" s="171"/>
      <c r="H209" s="171"/>
      <c r="I209" s="171"/>
      <c r="J209" s="171"/>
      <c r="K209" s="76"/>
      <c r="L209" s="76"/>
    </row>
    <row r="210" spans="1:12" hidden="1">
      <c r="A210" s="79">
        <f t="shared" si="33"/>
        <v>0</v>
      </c>
      <c r="B210" s="77" t="s">
        <v>365</v>
      </c>
      <c r="C210" s="206"/>
      <c r="D210" s="171"/>
      <c r="E210" s="171"/>
      <c r="F210" s="171"/>
      <c r="G210" s="171"/>
      <c r="H210" s="171"/>
      <c r="I210" s="171"/>
      <c r="J210" s="171"/>
      <c r="K210" s="76"/>
      <c r="L210" s="76"/>
    </row>
    <row r="211" spans="1:12" hidden="1">
      <c r="A211" s="79">
        <f t="shared" si="33"/>
        <v>0</v>
      </c>
      <c r="B211" s="77" t="s">
        <v>365</v>
      </c>
      <c r="C211" s="206"/>
      <c r="D211" s="171"/>
      <c r="E211" s="171"/>
      <c r="F211" s="171"/>
      <c r="G211" s="171"/>
      <c r="H211" s="171"/>
      <c r="I211" s="171"/>
      <c r="J211" s="171"/>
      <c r="K211" s="76"/>
      <c r="L211" s="76"/>
    </row>
    <row r="212" spans="1:12" hidden="1">
      <c r="A212" s="79" t="str">
        <f t="shared" si="33"/>
        <v>Onion</v>
      </c>
      <c r="B212" s="77" t="s">
        <v>365</v>
      </c>
      <c r="C212" s="229">
        <v>2000</v>
      </c>
      <c r="D212" s="171"/>
      <c r="E212" s="171"/>
      <c r="F212" s="171"/>
      <c r="G212" s="171"/>
      <c r="H212" s="171"/>
      <c r="I212" s="171"/>
      <c r="J212" s="171"/>
      <c r="K212" s="76"/>
      <c r="L212" s="76"/>
    </row>
    <row r="213" spans="1:12" hidden="1">
      <c r="A213" s="79" t="str">
        <f t="shared" si="33"/>
        <v>Tomato</v>
      </c>
      <c r="B213" s="77" t="s">
        <v>365</v>
      </c>
      <c r="C213" s="229">
        <v>1000</v>
      </c>
      <c r="D213" s="171"/>
      <c r="E213" s="171"/>
      <c r="F213" s="171"/>
      <c r="G213" s="171"/>
      <c r="H213" s="171"/>
      <c r="I213" s="171"/>
      <c r="J213" s="171"/>
      <c r="K213" s="76"/>
      <c r="L213" s="76"/>
    </row>
    <row r="214" spans="1:12" hidden="1">
      <c r="A214" s="79" t="str">
        <f t="shared" si="33"/>
        <v>Okra</v>
      </c>
      <c r="B214" s="77" t="s">
        <v>365</v>
      </c>
      <c r="C214" s="229">
        <v>1500</v>
      </c>
      <c r="D214" s="171"/>
      <c r="E214" s="171"/>
      <c r="F214" s="171"/>
      <c r="G214" s="171"/>
      <c r="H214" s="171"/>
      <c r="I214" s="171"/>
      <c r="J214" s="171"/>
      <c r="K214" s="76"/>
      <c r="L214" s="76"/>
    </row>
    <row r="215" spans="1:12" hidden="1">
      <c r="A215" s="79" t="str">
        <f t="shared" si="33"/>
        <v>Chilli</v>
      </c>
      <c r="B215" s="77" t="s">
        <v>365</v>
      </c>
      <c r="C215" s="229">
        <v>3000</v>
      </c>
      <c r="D215" s="171"/>
      <c r="E215" s="171"/>
      <c r="F215" s="171"/>
      <c r="G215" s="171"/>
      <c r="H215" s="171"/>
      <c r="I215" s="171"/>
      <c r="J215" s="171"/>
      <c r="K215" s="76"/>
      <c r="L215" s="76"/>
    </row>
    <row r="216" spans="1:12" hidden="1">
      <c r="A216" s="79" t="str">
        <f t="shared" si="33"/>
        <v>Brinjal</v>
      </c>
      <c r="B216" s="77" t="s">
        <v>365</v>
      </c>
      <c r="C216" s="229">
        <v>2000</v>
      </c>
      <c r="D216" s="171"/>
      <c r="E216" s="171"/>
      <c r="F216" s="171"/>
      <c r="G216" s="171"/>
      <c r="H216" s="171"/>
      <c r="I216" s="171"/>
      <c r="J216" s="171"/>
      <c r="K216" s="76"/>
      <c r="L216" s="76"/>
    </row>
    <row r="217" spans="1:12" hidden="1">
      <c r="A217" s="79">
        <f t="shared" si="33"/>
        <v>0</v>
      </c>
      <c r="B217" s="77" t="s">
        <v>365</v>
      </c>
      <c r="C217" s="229"/>
      <c r="D217" s="171"/>
      <c r="E217" s="171"/>
      <c r="F217" s="171"/>
      <c r="G217" s="171"/>
      <c r="H217" s="171"/>
      <c r="I217" s="171"/>
      <c r="J217" s="171"/>
      <c r="K217" s="76"/>
      <c r="L217" s="76"/>
    </row>
    <row r="218" spans="1:12" hidden="1">
      <c r="A218" s="79">
        <f t="shared" si="33"/>
        <v>0</v>
      </c>
      <c r="B218" s="77" t="s">
        <v>365</v>
      </c>
      <c r="C218" s="229"/>
      <c r="D218" s="171"/>
      <c r="E218" s="171"/>
      <c r="F218" s="171"/>
      <c r="G218" s="171"/>
      <c r="H218" s="171"/>
      <c r="I218" s="171"/>
      <c r="J218" s="171"/>
      <c r="K218" s="76"/>
      <c r="L218" s="76"/>
    </row>
    <row r="219" spans="1:12" hidden="1">
      <c r="A219" s="79">
        <f t="shared" si="33"/>
        <v>0</v>
      </c>
      <c r="B219" s="77" t="s">
        <v>365</v>
      </c>
      <c r="C219" s="229"/>
      <c r="D219" s="171"/>
      <c r="E219" s="171"/>
      <c r="F219" s="171"/>
      <c r="G219" s="171"/>
      <c r="H219" s="171"/>
      <c r="I219" s="171"/>
      <c r="J219" s="171"/>
      <c r="K219" s="76"/>
      <c r="L219" s="76"/>
    </row>
    <row r="220" spans="1:12" hidden="1">
      <c r="A220" s="79">
        <f t="shared" si="33"/>
        <v>0</v>
      </c>
      <c r="B220" s="77" t="s">
        <v>365</v>
      </c>
      <c r="C220" s="229"/>
      <c r="D220" s="171"/>
      <c r="E220" s="171"/>
      <c r="F220" s="171"/>
      <c r="G220" s="171"/>
      <c r="H220" s="171"/>
      <c r="I220" s="171"/>
      <c r="J220" s="171"/>
      <c r="K220" s="76"/>
      <c r="L220" s="76"/>
    </row>
    <row r="221" spans="1:12" hidden="1">
      <c r="A221" s="79">
        <f t="shared" ref="A221:A223" si="34">A162</f>
        <v>0</v>
      </c>
      <c r="B221" s="77" t="s">
        <v>365</v>
      </c>
      <c r="C221" s="229"/>
      <c r="D221" s="171"/>
      <c r="E221" s="171"/>
      <c r="F221" s="171"/>
      <c r="G221" s="171"/>
      <c r="H221" s="171"/>
      <c r="I221" s="171"/>
      <c r="J221" s="171"/>
      <c r="K221" s="76"/>
      <c r="L221" s="76"/>
    </row>
    <row r="222" spans="1:12" hidden="1">
      <c r="A222" s="79">
        <f t="shared" si="34"/>
        <v>0</v>
      </c>
      <c r="B222" s="77" t="s">
        <v>365</v>
      </c>
      <c r="C222" s="229"/>
      <c r="D222" s="171"/>
      <c r="E222" s="171"/>
      <c r="F222" s="171"/>
      <c r="G222" s="171"/>
      <c r="H222" s="171"/>
      <c r="I222" s="171"/>
      <c r="J222" s="171"/>
      <c r="K222" s="76"/>
      <c r="L222" s="76"/>
    </row>
    <row r="223" spans="1:12" hidden="1">
      <c r="A223" s="79">
        <f t="shared" si="34"/>
        <v>0</v>
      </c>
      <c r="B223" s="77" t="s">
        <v>365</v>
      </c>
      <c r="C223" s="229"/>
      <c r="D223" s="171"/>
      <c r="E223" s="171"/>
      <c r="F223" s="171"/>
      <c r="G223" s="171"/>
      <c r="H223" s="171"/>
      <c r="I223" s="171"/>
      <c r="J223" s="171"/>
      <c r="K223" s="76"/>
      <c r="L223" s="76"/>
    </row>
    <row r="224" spans="1:12" hidden="1">
      <c r="A224" s="79" t="str">
        <f t="shared" ref="A224:A227" si="35">A165</f>
        <v>Pomegranate</v>
      </c>
      <c r="B224" s="77" t="s">
        <v>365</v>
      </c>
      <c r="C224" s="229">
        <v>5000</v>
      </c>
      <c r="D224" s="171"/>
      <c r="E224" s="171"/>
      <c r="F224" s="171"/>
      <c r="G224" s="171"/>
      <c r="H224" s="171"/>
      <c r="I224" s="171"/>
      <c r="J224" s="171"/>
      <c r="K224" s="76"/>
      <c r="L224" s="76"/>
    </row>
    <row r="225" spans="1:12" hidden="1">
      <c r="A225" s="79" t="str">
        <f t="shared" si="35"/>
        <v>Custard Apple</v>
      </c>
      <c r="B225" s="77" t="s">
        <v>365</v>
      </c>
      <c r="C225" s="229"/>
      <c r="D225" s="171"/>
      <c r="E225" s="171"/>
      <c r="F225" s="171"/>
      <c r="G225" s="171"/>
      <c r="H225" s="171"/>
      <c r="I225" s="171"/>
      <c r="J225" s="171"/>
      <c r="K225" s="76"/>
      <c r="L225" s="76"/>
    </row>
    <row r="226" spans="1:12" hidden="1">
      <c r="A226" s="79" t="str">
        <f t="shared" si="35"/>
        <v>Guava</v>
      </c>
      <c r="B226" s="77" t="s">
        <v>365</v>
      </c>
      <c r="C226" s="229"/>
      <c r="D226" s="171"/>
      <c r="E226" s="171"/>
      <c r="F226" s="171"/>
      <c r="G226" s="171"/>
      <c r="H226" s="171"/>
      <c r="I226" s="171"/>
      <c r="J226" s="171"/>
      <c r="K226" s="76"/>
      <c r="L226" s="76"/>
    </row>
    <row r="227" spans="1:12" hidden="1">
      <c r="A227" s="79" t="str">
        <f t="shared" si="35"/>
        <v>Citrus</v>
      </c>
      <c r="B227" s="77" t="s">
        <v>365</v>
      </c>
      <c r="C227" s="229"/>
      <c r="D227" s="171"/>
      <c r="E227" s="171"/>
      <c r="F227" s="171"/>
      <c r="G227" s="171"/>
      <c r="H227" s="171"/>
      <c r="I227" s="171"/>
      <c r="J227" s="171"/>
      <c r="K227" s="76"/>
      <c r="L227" s="76"/>
    </row>
    <row r="228" spans="1:12">
      <c r="A228" s="79"/>
      <c r="B228" s="79"/>
      <c r="C228" s="79"/>
      <c r="D228" s="77"/>
      <c r="E228" s="77"/>
      <c r="F228" s="77"/>
      <c r="G228" s="77"/>
      <c r="H228" s="77"/>
      <c r="I228" s="77"/>
      <c r="J228" s="77"/>
      <c r="K228" s="76"/>
      <c r="L228" s="76"/>
    </row>
    <row r="229" spans="1:12">
      <c r="A229" s="79" t="s">
        <v>144</v>
      </c>
      <c r="B229" s="79"/>
      <c r="C229" s="79"/>
      <c r="D229" s="173"/>
      <c r="E229" s="173"/>
      <c r="F229" s="173"/>
      <c r="G229" s="173"/>
      <c r="H229" s="173"/>
      <c r="I229" s="173"/>
      <c r="J229" s="173"/>
      <c r="K229" s="76"/>
      <c r="L229" s="76"/>
    </row>
    <row r="230" spans="1:12">
      <c r="A230" s="77"/>
      <c r="B230" s="77"/>
      <c r="C230" s="77"/>
      <c r="D230" s="77"/>
      <c r="E230" s="77"/>
      <c r="F230" s="77"/>
      <c r="G230" s="77"/>
      <c r="H230" s="77"/>
      <c r="I230" s="77"/>
      <c r="J230" s="77"/>
      <c r="K230" s="76"/>
      <c r="L230" s="76"/>
    </row>
    <row r="231" spans="1:12">
      <c r="A231" s="79" t="s">
        <v>143</v>
      </c>
      <c r="B231" s="79"/>
      <c r="C231" s="79"/>
      <c r="D231" s="77"/>
      <c r="E231" s="77"/>
      <c r="F231" s="77"/>
      <c r="G231" s="77"/>
      <c r="H231" s="77"/>
      <c r="I231" s="77"/>
      <c r="J231" s="77"/>
      <c r="K231" s="76"/>
      <c r="L231" s="76"/>
    </row>
    <row r="232" spans="1:12">
      <c r="A232" s="79" t="s">
        <v>312</v>
      </c>
      <c r="B232" s="79"/>
      <c r="C232" s="77"/>
      <c r="D232" s="77"/>
      <c r="E232" s="77"/>
      <c r="F232" s="77"/>
      <c r="G232" s="77"/>
      <c r="H232" s="77"/>
      <c r="I232" s="77"/>
      <c r="J232" s="77"/>
      <c r="K232" s="76"/>
      <c r="L232" s="76"/>
    </row>
    <row r="233" spans="1:12" hidden="1">
      <c r="A233" s="77" t="str">
        <f t="shared" ref="A233:A254" si="36">A178</f>
        <v>Soybean</v>
      </c>
      <c r="B233" s="77" t="s">
        <v>365</v>
      </c>
      <c r="C233" s="225">
        <v>4500</v>
      </c>
      <c r="D233" s="78"/>
      <c r="E233" s="78"/>
      <c r="F233" s="78"/>
      <c r="G233" s="78"/>
      <c r="H233" s="78"/>
      <c r="I233" s="78"/>
      <c r="J233" s="78"/>
      <c r="K233" s="76"/>
      <c r="L233" s="76"/>
    </row>
    <row r="234" spans="1:12" hidden="1">
      <c r="A234" s="77" t="str">
        <f t="shared" si="36"/>
        <v>Red Gram/Tur</v>
      </c>
      <c r="B234" s="77" t="s">
        <v>365</v>
      </c>
      <c r="C234" s="225">
        <v>6700</v>
      </c>
      <c r="D234" s="78"/>
      <c r="E234" s="78"/>
      <c r="F234" s="78"/>
      <c r="G234" s="78"/>
      <c r="H234" s="78"/>
      <c r="I234" s="78"/>
      <c r="J234" s="78"/>
      <c r="K234" s="76"/>
      <c r="L234" s="76"/>
    </row>
    <row r="235" spans="1:12" hidden="1">
      <c r="A235" s="77" t="str">
        <f t="shared" si="36"/>
        <v>Paddy/Rice</v>
      </c>
      <c r="B235" s="77" t="s">
        <v>365</v>
      </c>
      <c r="C235" s="225"/>
      <c r="D235" s="78"/>
      <c r="E235" s="78"/>
      <c r="F235" s="78"/>
      <c r="G235" s="78"/>
      <c r="H235" s="78"/>
      <c r="I235" s="78"/>
      <c r="J235" s="78"/>
      <c r="K235" s="76"/>
      <c r="L235" s="76"/>
    </row>
    <row r="236" spans="1:12" hidden="1">
      <c r="A236" s="77" t="str">
        <f t="shared" si="36"/>
        <v>Green Gram/ Moong</v>
      </c>
      <c r="B236" s="77" t="s">
        <v>365</v>
      </c>
      <c r="C236" s="225">
        <v>5800</v>
      </c>
      <c r="D236" s="78"/>
      <c r="E236" s="78"/>
      <c r="F236" s="78"/>
      <c r="G236" s="78"/>
      <c r="H236" s="78"/>
      <c r="I236" s="78"/>
      <c r="J236" s="78"/>
      <c r="K236" s="76"/>
      <c r="L236" s="76"/>
    </row>
    <row r="237" spans="1:12" hidden="1">
      <c r="A237" s="77" t="str">
        <f t="shared" si="36"/>
        <v>Maize</v>
      </c>
      <c r="B237" s="77" t="s">
        <v>365</v>
      </c>
      <c r="C237" s="225">
        <v>1750</v>
      </c>
      <c r="D237" s="78"/>
      <c r="E237" s="78"/>
      <c r="F237" s="78"/>
      <c r="G237" s="78"/>
      <c r="H237" s="78"/>
      <c r="I237" s="78"/>
      <c r="J237" s="78"/>
      <c r="K237" s="76"/>
      <c r="L237" s="76"/>
    </row>
    <row r="238" spans="1:12" hidden="1">
      <c r="A238" s="77" t="str">
        <f t="shared" si="36"/>
        <v>Black Gram/Udid</v>
      </c>
      <c r="B238" s="77" t="s">
        <v>365</v>
      </c>
      <c r="C238" s="225">
        <v>6200</v>
      </c>
      <c r="D238" s="78"/>
      <c r="E238" s="78"/>
      <c r="F238" s="78"/>
      <c r="G238" s="78"/>
      <c r="H238" s="78"/>
      <c r="I238" s="78"/>
      <c r="J238" s="78"/>
      <c r="K238" s="76"/>
      <c r="L238" s="76"/>
    </row>
    <row r="239" spans="1:12" hidden="1">
      <c r="A239" s="77" t="str">
        <f t="shared" si="36"/>
        <v>Bajra</v>
      </c>
      <c r="B239" s="77" t="s">
        <v>365</v>
      </c>
      <c r="C239" s="225">
        <v>1800</v>
      </c>
      <c r="D239" s="78"/>
      <c r="E239" s="78"/>
      <c r="F239" s="78"/>
      <c r="G239" s="78"/>
      <c r="H239" s="78"/>
      <c r="I239" s="78"/>
      <c r="J239" s="78"/>
      <c r="K239" s="76"/>
      <c r="L239" s="76"/>
    </row>
    <row r="240" spans="1:12" hidden="1">
      <c r="A240" s="77" t="str">
        <f t="shared" si="36"/>
        <v>Jawar</v>
      </c>
      <c r="B240" s="77" t="s">
        <v>365</v>
      </c>
      <c r="C240" s="225"/>
      <c r="D240" s="78"/>
      <c r="E240" s="78"/>
      <c r="F240" s="78"/>
      <c r="G240" s="78"/>
      <c r="H240" s="78"/>
      <c r="I240" s="78"/>
      <c r="J240" s="78"/>
      <c r="K240" s="76"/>
      <c r="L240" s="76"/>
    </row>
    <row r="241" spans="1:12" hidden="1">
      <c r="A241" s="77" t="str">
        <f t="shared" si="36"/>
        <v>Sunflower</v>
      </c>
      <c r="B241" s="77" t="s">
        <v>365</v>
      </c>
      <c r="C241" s="225"/>
      <c r="D241" s="78"/>
      <c r="E241" s="78"/>
      <c r="F241" s="78"/>
      <c r="G241" s="78"/>
      <c r="H241" s="78"/>
      <c r="I241" s="78"/>
      <c r="J241" s="78"/>
      <c r="K241" s="76"/>
      <c r="L241" s="76"/>
    </row>
    <row r="242" spans="1:12" hidden="1">
      <c r="A242" s="77" t="str">
        <f t="shared" si="36"/>
        <v>Wheat</v>
      </c>
      <c r="B242" s="77" t="s">
        <v>365</v>
      </c>
      <c r="C242" s="225">
        <v>1800</v>
      </c>
      <c r="D242" s="78"/>
      <c r="E242" s="78"/>
      <c r="F242" s="78"/>
      <c r="G242" s="78"/>
      <c r="H242" s="78"/>
      <c r="I242" s="78"/>
      <c r="J242" s="78"/>
      <c r="K242" s="76"/>
      <c r="L242" s="76"/>
    </row>
    <row r="243" spans="1:12">
      <c r="A243" s="77" t="str">
        <f t="shared" si="36"/>
        <v>Bengal Gram</v>
      </c>
      <c r="B243" s="77" t="s">
        <v>365</v>
      </c>
      <c r="C243" s="225">
        <v>4400</v>
      </c>
      <c r="D243" s="78"/>
      <c r="E243" s="78"/>
      <c r="F243" s="78"/>
      <c r="G243" s="78"/>
      <c r="H243" s="78"/>
      <c r="I243" s="78"/>
      <c r="J243" s="78"/>
      <c r="K243" s="76"/>
      <c r="L243" s="76"/>
    </row>
    <row r="244" spans="1:12" hidden="1">
      <c r="A244" s="77" t="str">
        <f t="shared" si="36"/>
        <v>Jawar</v>
      </c>
      <c r="B244" s="77" t="s">
        <v>365</v>
      </c>
      <c r="C244" s="225"/>
      <c r="D244" s="78"/>
      <c r="E244" s="78"/>
      <c r="F244" s="78"/>
      <c r="G244" s="78"/>
      <c r="H244" s="78"/>
      <c r="I244" s="78"/>
      <c r="J244" s="78"/>
      <c r="K244" s="76"/>
      <c r="L244" s="76"/>
    </row>
    <row r="245" spans="1:12" hidden="1">
      <c r="A245" s="77" t="str">
        <f t="shared" si="36"/>
        <v>Maize</v>
      </c>
      <c r="B245" s="77" t="s">
        <v>365</v>
      </c>
      <c r="C245" s="225">
        <v>1600</v>
      </c>
      <c r="D245" s="78"/>
      <c r="E245" s="78"/>
      <c r="F245" s="78"/>
      <c r="G245" s="78"/>
      <c r="H245" s="78"/>
      <c r="I245" s="78"/>
      <c r="J245" s="78"/>
      <c r="K245" s="76"/>
      <c r="L245" s="76"/>
    </row>
    <row r="246" spans="1:12" hidden="1">
      <c r="A246" s="77" t="str">
        <f t="shared" si="36"/>
        <v>Safflower</v>
      </c>
      <c r="B246" s="77" t="s">
        <v>365</v>
      </c>
      <c r="C246" s="225"/>
      <c r="D246" s="78"/>
      <c r="E246" s="78"/>
      <c r="F246" s="78"/>
      <c r="G246" s="78"/>
      <c r="H246" s="78"/>
      <c r="I246" s="78"/>
      <c r="J246" s="78"/>
      <c r="K246" s="76"/>
      <c r="L246" s="76"/>
    </row>
    <row r="247" spans="1:12" hidden="1">
      <c r="A247" s="77">
        <f t="shared" si="36"/>
        <v>0</v>
      </c>
      <c r="B247" s="77" t="s">
        <v>365</v>
      </c>
      <c r="C247" s="225"/>
      <c r="D247" s="78"/>
      <c r="E247" s="78"/>
      <c r="F247" s="78"/>
      <c r="G247" s="78"/>
      <c r="H247" s="78"/>
      <c r="I247" s="78"/>
      <c r="J247" s="78"/>
      <c r="K247" s="76"/>
      <c r="L247" s="76"/>
    </row>
    <row r="248" spans="1:12" hidden="1">
      <c r="A248" s="77">
        <f t="shared" si="36"/>
        <v>0</v>
      </c>
      <c r="B248" s="77" t="s">
        <v>365</v>
      </c>
      <c r="C248" s="225"/>
      <c r="D248" s="78"/>
      <c r="E248" s="78"/>
      <c r="F248" s="78"/>
      <c r="G248" s="78"/>
      <c r="H248" s="78"/>
      <c r="I248" s="78"/>
      <c r="J248" s="78"/>
      <c r="K248" s="76"/>
      <c r="L248" s="76"/>
    </row>
    <row r="249" spans="1:12" hidden="1">
      <c r="A249" s="77">
        <f t="shared" si="36"/>
        <v>0</v>
      </c>
      <c r="B249" s="77" t="s">
        <v>365</v>
      </c>
      <c r="C249" s="225"/>
      <c r="D249" s="78"/>
      <c r="E249" s="78"/>
      <c r="F249" s="78"/>
      <c r="G249" s="78"/>
      <c r="H249" s="78"/>
      <c r="I249" s="78"/>
      <c r="J249" s="78"/>
      <c r="K249" s="76"/>
      <c r="L249" s="76"/>
    </row>
    <row r="250" spans="1:12" hidden="1">
      <c r="A250" s="77" t="str">
        <f t="shared" si="36"/>
        <v>Groundnut</v>
      </c>
      <c r="B250" s="77" t="s">
        <v>365</v>
      </c>
      <c r="C250" s="225"/>
      <c r="D250" s="78"/>
      <c r="E250" s="78"/>
      <c r="F250" s="78"/>
      <c r="G250" s="78"/>
      <c r="H250" s="78"/>
      <c r="I250" s="78"/>
      <c r="J250" s="78"/>
      <c r="K250" s="76"/>
      <c r="L250" s="76"/>
    </row>
    <row r="251" spans="1:12" hidden="1">
      <c r="A251" s="77">
        <f t="shared" si="36"/>
        <v>0</v>
      </c>
      <c r="B251" s="77" t="s">
        <v>365</v>
      </c>
      <c r="C251" s="225"/>
      <c r="D251" s="78"/>
      <c r="E251" s="78"/>
      <c r="F251" s="78"/>
      <c r="G251" s="78"/>
      <c r="H251" s="78"/>
      <c r="I251" s="78"/>
      <c r="J251" s="78"/>
      <c r="K251" s="76"/>
      <c r="L251" s="76"/>
    </row>
    <row r="252" spans="1:12" hidden="1">
      <c r="A252" s="77">
        <f t="shared" si="36"/>
        <v>0</v>
      </c>
      <c r="B252" s="77" t="s">
        <v>365</v>
      </c>
      <c r="C252" s="225"/>
      <c r="D252" s="78"/>
      <c r="E252" s="78"/>
      <c r="F252" s="78"/>
      <c r="G252" s="78"/>
      <c r="H252" s="78"/>
      <c r="I252" s="78"/>
      <c r="J252" s="78"/>
      <c r="K252" s="76"/>
      <c r="L252" s="76"/>
    </row>
    <row r="253" spans="1:12" hidden="1">
      <c r="A253" s="77">
        <f t="shared" si="36"/>
        <v>0</v>
      </c>
      <c r="B253" s="77" t="s">
        <v>365</v>
      </c>
      <c r="C253" s="225"/>
      <c r="D253" s="78"/>
      <c r="E253" s="78"/>
      <c r="F253" s="78"/>
      <c r="G253" s="78"/>
      <c r="H253" s="78"/>
      <c r="I253" s="78"/>
      <c r="J253" s="78"/>
      <c r="K253" s="76"/>
      <c r="L253" s="76"/>
    </row>
    <row r="254" spans="1:12" hidden="1">
      <c r="A254" s="77">
        <f t="shared" si="36"/>
        <v>0</v>
      </c>
      <c r="B254" s="77" t="s">
        <v>365</v>
      </c>
      <c r="C254" s="225"/>
      <c r="D254" s="78"/>
      <c r="E254" s="78"/>
      <c r="F254" s="78"/>
      <c r="G254" s="78"/>
      <c r="H254" s="78"/>
      <c r="I254" s="78"/>
      <c r="J254" s="78"/>
      <c r="K254" s="76"/>
      <c r="L254" s="76"/>
    </row>
    <row r="255" spans="1:12" hidden="1">
      <c r="A255" s="77">
        <f t="shared" ref="A255:A274" si="37">A201</f>
        <v>0</v>
      </c>
      <c r="B255" s="77"/>
      <c r="C255" s="225"/>
      <c r="D255" s="78"/>
      <c r="E255" s="78"/>
      <c r="F255" s="78"/>
      <c r="G255" s="78"/>
      <c r="H255" s="78"/>
      <c r="I255" s="78"/>
      <c r="J255" s="78"/>
      <c r="K255" s="76"/>
      <c r="L255" s="76"/>
    </row>
    <row r="256" spans="1:12" hidden="1">
      <c r="A256" s="79" t="str">
        <f t="shared" si="37"/>
        <v>Fruit  &amp; Vegetables Crop Production Details</v>
      </c>
      <c r="B256" s="77"/>
      <c r="C256" s="225"/>
      <c r="D256" s="78"/>
      <c r="E256" s="78"/>
      <c r="F256" s="78"/>
      <c r="G256" s="78"/>
      <c r="H256" s="78"/>
      <c r="I256" s="78"/>
      <c r="J256" s="78"/>
      <c r="K256" s="76"/>
      <c r="L256" s="76"/>
    </row>
    <row r="257" spans="1:12" hidden="1">
      <c r="A257" s="77" t="str">
        <f t="shared" si="37"/>
        <v>Onion</v>
      </c>
      <c r="B257" s="77" t="s">
        <v>365</v>
      </c>
      <c r="C257" s="225">
        <v>1800</v>
      </c>
      <c r="D257" s="78"/>
      <c r="E257" s="78"/>
      <c r="F257" s="78"/>
      <c r="G257" s="78"/>
      <c r="H257" s="78"/>
      <c r="I257" s="78"/>
      <c r="J257" s="78"/>
      <c r="K257" s="76"/>
      <c r="L257" s="76"/>
    </row>
    <row r="258" spans="1:12" hidden="1">
      <c r="A258" s="77" t="str">
        <f t="shared" si="37"/>
        <v>Tomato</v>
      </c>
      <c r="B258" s="77" t="s">
        <v>365</v>
      </c>
      <c r="C258" s="225">
        <v>800</v>
      </c>
      <c r="D258" s="78"/>
      <c r="E258" s="78"/>
      <c r="F258" s="78"/>
      <c r="G258" s="78"/>
      <c r="H258" s="78"/>
      <c r="I258" s="78"/>
      <c r="J258" s="78"/>
      <c r="K258" s="76"/>
      <c r="L258" s="76"/>
    </row>
    <row r="259" spans="1:12" hidden="1">
      <c r="A259" s="77" t="str">
        <f t="shared" si="37"/>
        <v>Okra</v>
      </c>
      <c r="B259" s="77" t="s">
        <v>365</v>
      </c>
      <c r="C259" s="225">
        <v>1300</v>
      </c>
      <c r="D259" s="78"/>
      <c r="E259" s="78"/>
      <c r="F259" s="78"/>
      <c r="G259" s="78"/>
      <c r="H259" s="78"/>
      <c r="I259" s="78"/>
      <c r="J259" s="78"/>
      <c r="K259" s="76"/>
      <c r="L259" s="76"/>
    </row>
    <row r="260" spans="1:12" hidden="1">
      <c r="A260" s="77" t="str">
        <f t="shared" si="37"/>
        <v>Chilli</v>
      </c>
      <c r="B260" s="77" t="s">
        <v>365</v>
      </c>
      <c r="C260" s="225">
        <v>2800</v>
      </c>
      <c r="D260" s="78"/>
      <c r="E260" s="78"/>
      <c r="F260" s="78"/>
      <c r="G260" s="78"/>
      <c r="H260" s="78"/>
      <c r="I260" s="78"/>
      <c r="J260" s="78"/>
      <c r="K260" s="76"/>
      <c r="L260" s="76"/>
    </row>
    <row r="261" spans="1:12" hidden="1">
      <c r="A261" s="77" t="str">
        <f t="shared" si="37"/>
        <v>Potato</v>
      </c>
      <c r="B261" s="77" t="s">
        <v>365</v>
      </c>
      <c r="C261" s="225">
        <v>1300</v>
      </c>
      <c r="D261" s="78"/>
      <c r="E261" s="78"/>
      <c r="F261" s="78"/>
      <c r="G261" s="78"/>
      <c r="H261" s="78"/>
      <c r="I261" s="78"/>
      <c r="J261" s="78"/>
      <c r="K261" s="76"/>
      <c r="L261" s="76"/>
    </row>
    <row r="262" spans="1:12" hidden="1">
      <c r="A262" s="77">
        <f t="shared" si="37"/>
        <v>0</v>
      </c>
      <c r="B262" s="77" t="s">
        <v>365</v>
      </c>
      <c r="C262" s="225"/>
      <c r="D262" s="78"/>
      <c r="E262" s="78"/>
      <c r="F262" s="78"/>
      <c r="G262" s="78"/>
      <c r="H262" s="78"/>
      <c r="I262" s="78"/>
      <c r="J262" s="78"/>
      <c r="K262" s="76"/>
      <c r="L262" s="76"/>
    </row>
    <row r="263" spans="1:12" hidden="1">
      <c r="A263" s="77">
        <f t="shared" si="37"/>
        <v>0</v>
      </c>
      <c r="B263" s="77" t="s">
        <v>365</v>
      </c>
      <c r="C263" s="225"/>
      <c r="D263" s="78"/>
      <c r="E263" s="78"/>
      <c r="F263" s="78"/>
      <c r="G263" s="78"/>
      <c r="H263" s="78"/>
      <c r="I263" s="78"/>
      <c r="J263" s="78"/>
      <c r="K263" s="76"/>
      <c r="L263" s="76"/>
    </row>
    <row r="264" spans="1:12" hidden="1">
      <c r="A264" s="77">
        <f t="shared" si="37"/>
        <v>0</v>
      </c>
      <c r="B264" s="77" t="s">
        <v>365</v>
      </c>
      <c r="C264" s="225"/>
      <c r="D264" s="78"/>
      <c r="E264" s="78"/>
      <c r="F264" s="78"/>
      <c r="G264" s="78"/>
      <c r="H264" s="78"/>
      <c r="I264" s="78"/>
      <c r="J264" s="78"/>
      <c r="K264" s="76"/>
      <c r="L264" s="76"/>
    </row>
    <row r="265" spans="1:12" hidden="1">
      <c r="A265" s="77">
        <f t="shared" si="37"/>
        <v>0</v>
      </c>
      <c r="B265" s="77" t="s">
        <v>365</v>
      </c>
      <c r="C265" s="225"/>
      <c r="D265" s="78"/>
      <c r="E265" s="78"/>
      <c r="F265" s="78"/>
      <c r="G265" s="78"/>
      <c r="H265" s="78"/>
      <c r="I265" s="78"/>
      <c r="J265" s="78"/>
      <c r="K265" s="76"/>
      <c r="L265" s="76"/>
    </row>
    <row r="266" spans="1:12" hidden="1">
      <c r="A266" s="77" t="str">
        <f t="shared" si="37"/>
        <v>Onion</v>
      </c>
      <c r="B266" s="77" t="s">
        <v>365</v>
      </c>
      <c r="C266" s="225">
        <v>1800</v>
      </c>
      <c r="D266" s="78"/>
      <c r="E266" s="78"/>
      <c r="F266" s="78"/>
      <c r="G266" s="78"/>
      <c r="H266" s="78"/>
      <c r="I266" s="78"/>
      <c r="J266" s="78"/>
      <c r="K266" s="76"/>
      <c r="L266" s="76"/>
    </row>
    <row r="267" spans="1:12" hidden="1">
      <c r="A267" s="77" t="str">
        <f t="shared" si="37"/>
        <v>Tomato</v>
      </c>
      <c r="B267" s="77" t="s">
        <v>365</v>
      </c>
      <c r="C267" s="225">
        <v>800</v>
      </c>
      <c r="D267" s="78"/>
      <c r="E267" s="78"/>
      <c r="F267" s="78"/>
      <c r="G267" s="78"/>
      <c r="H267" s="78"/>
      <c r="I267" s="78"/>
      <c r="J267" s="78"/>
      <c r="K267" s="76"/>
      <c r="L267" s="76"/>
    </row>
    <row r="268" spans="1:12" hidden="1">
      <c r="A268" s="77" t="str">
        <f t="shared" si="37"/>
        <v>Okra</v>
      </c>
      <c r="B268" s="77" t="s">
        <v>365</v>
      </c>
      <c r="C268" s="225">
        <v>1300</v>
      </c>
      <c r="D268" s="78"/>
      <c r="E268" s="78"/>
      <c r="F268" s="78"/>
      <c r="G268" s="78"/>
      <c r="H268" s="78"/>
      <c r="I268" s="78"/>
      <c r="J268" s="78"/>
      <c r="K268" s="76"/>
      <c r="L268" s="76"/>
    </row>
    <row r="269" spans="1:12" hidden="1">
      <c r="A269" s="77" t="str">
        <f t="shared" si="37"/>
        <v>Chilli</v>
      </c>
      <c r="B269" s="77" t="s">
        <v>365</v>
      </c>
      <c r="C269" s="225">
        <v>2800</v>
      </c>
      <c r="D269" s="78"/>
      <c r="E269" s="78"/>
      <c r="F269" s="78"/>
      <c r="G269" s="78"/>
      <c r="H269" s="78"/>
      <c r="I269" s="78"/>
      <c r="J269" s="78"/>
      <c r="K269" s="76"/>
      <c r="L269" s="76"/>
    </row>
    <row r="270" spans="1:12" hidden="1">
      <c r="A270" s="77" t="str">
        <f t="shared" si="37"/>
        <v>Brinjal</v>
      </c>
      <c r="B270" s="77" t="s">
        <v>365</v>
      </c>
      <c r="C270" s="225">
        <v>1800</v>
      </c>
      <c r="D270" s="78"/>
      <c r="E270" s="78"/>
      <c r="F270" s="78"/>
      <c r="G270" s="78"/>
      <c r="H270" s="78"/>
      <c r="I270" s="78"/>
      <c r="J270" s="78"/>
      <c r="K270" s="76"/>
      <c r="L270" s="76"/>
    </row>
    <row r="271" spans="1:12" hidden="1">
      <c r="A271" s="77">
        <f t="shared" si="37"/>
        <v>0</v>
      </c>
      <c r="B271" s="77" t="s">
        <v>365</v>
      </c>
      <c r="C271" s="225"/>
      <c r="D271" s="78"/>
      <c r="E271" s="78"/>
      <c r="F271" s="78"/>
      <c r="G271" s="78"/>
      <c r="H271" s="78"/>
      <c r="I271" s="78"/>
      <c r="J271" s="78"/>
      <c r="K271" s="76"/>
      <c r="L271" s="76"/>
    </row>
    <row r="272" spans="1:12" hidden="1">
      <c r="A272" s="77">
        <f t="shared" si="37"/>
        <v>0</v>
      </c>
      <c r="B272" s="77" t="s">
        <v>365</v>
      </c>
      <c r="C272" s="225"/>
      <c r="D272" s="78"/>
      <c r="E272" s="78"/>
      <c r="F272" s="78"/>
      <c r="G272" s="78"/>
      <c r="H272" s="78"/>
      <c r="I272" s="78"/>
      <c r="J272" s="78"/>
      <c r="K272" s="76"/>
      <c r="L272" s="76"/>
    </row>
    <row r="273" spans="1:12" hidden="1">
      <c r="A273" s="77">
        <f t="shared" si="37"/>
        <v>0</v>
      </c>
      <c r="B273" s="77" t="s">
        <v>365</v>
      </c>
      <c r="C273" s="225"/>
      <c r="D273" s="78"/>
      <c r="E273" s="78"/>
      <c r="F273" s="78"/>
      <c r="G273" s="78"/>
      <c r="H273" s="78"/>
      <c r="I273" s="78"/>
      <c r="J273" s="78"/>
      <c r="K273" s="76"/>
      <c r="L273" s="76"/>
    </row>
    <row r="274" spans="1:12" hidden="1">
      <c r="A274" s="77">
        <f t="shared" si="37"/>
        <v>0</v>
      </c>
      <c r="B274" s="77" t="s">
        <v>365</v>
      </c>
      <c r="C274" s="225"/>
      <c r="D274" s="78"/>
      <c r="E274" s="78"/>
      <c r="F274" s="78"/>
      <c r="G274" s="78"/>
      <c r="H274" s="78"/>
      <c r="I274" s="78"/>
      <c r="J274" s="78"/>
      <c r="K274" s="76"/>
      <c r="L274" s="76"/>
    </row>
    <row r="275" spans="1:12" hidden="1">
      <c r="A275" s="77" t="str">
        <f>A224</f>
        <v>Pomegranate</v>
      </c>
      <c r="B275" s="77" t="s">
        <v>365</v>
      </c>
      <c r="C275" s="225">
        <v>4700</v>
      </c>
      <c r="D275" s="78"/>
      <c r="E275" s="78"/>
      <c r="F275" s="78"/>
      <c r="G275" s="78"/>
      <c r="H275" s="78"/>
      <c r="I275" s="78"/>
      <c r="J275" s="78"/>
      <c r="K275" s="76"/>
      <c r="L275" s="76"/>
    </row>
    <row r="276" spans="1:12" hidden="1">
      <c r="A276" s="77" t="str">
        <f>A225</f>
        <v>Custard Apple</v>
      </c>
      <c r="B276" s="77" t="s">
        <v>365</v>
      </c>
      <c r="C276" s="225"/>
      <c r="D276" s="78"/>
      <c r="E276" s="78"/>
      <c r="F276" s="78"/>
      <c r="G276" s="78"/>
      <c r="H276" s="78"/>
      <c r="I276" s="78"/>
      <c r="J276" s="78"/>
      <c r="K276" s="76"/>
      <c r="L276" s="76"/>
    </row>
    <row r="277" spans="1:12" hidden="1">
      <c r="A277" s="77" t="str">
        <f>A226</f>
        <v>Guava</v>
      </c>
      <c r="B277" s="77" t="s">
        <v>365</v>
      </c>
      <c r="C277" s="225"/>
      <c r="D277" s="78"/>
      <c r="E277" s="78"/>
      <c r="F277" s="78"/>
      <c r="G277" s="78"/>
      <c r="H277" s="78"/>
      <c r="I277" s="78"/>
      <c r="J277" s="78"/>
      <c r="K277" s="76"/>
      <c r="L277" s="76"/>
    </row>
    <row r="278" spans="1:12" hidden="1">
      <c r="A278" s="77" t="str">
        <f>A227</f>
        <v>Citrus</v>
      </c>
      <c r="B278" s="77" t="s">
        <v>365</v>
      </c>
      <c r="C278" s="225"/>
      <c r="D278" s="78"/>
      <c r="E278" s="78"/>
      <c r="F278" s="78"/>
      <c r="G278" s="78"/>
      <c r="H278" s="78"/>
      <c r="I278" s="78"/>
      <c r="J278" s="78"/>
      <c r="K278" s="76"/>
      <c r="L278" s="76"/>
    </row>
    <row r="279" spans="1:12" hidden="1">
      <c r="A279" s="77">
        <f>A228</f>
        <v>0</v>
      </c>
      <c r="B279" s="77" t="s">
        <v>365</v>
      </c>
      <c r="C279" s="225"/>
      <c r="D279" s="78"/>
      <c r="E279" s="78"/>
      <c r="F279" s="78"/>
      <c r="G279" s="78"/>
      <c r="H279" s="78"/>
      <c r="I279" s="78"/>
      <c r="J279" s="78"/>
      <c r="K279" s="76"/>
      <c r="L279" s="76"/>
    </row>
    <row r="280" spans="1:12" hidden="1">
      <c r="A280" s="77">
        <f>A230</f>
        <v>0</v>
      </c>
      <c r="B280" s="77"/>
      <c r="C280" s="225"/>
      <c r="D280" s="78"/>
      <c r="E280" s="78"/>
      <c r="F280" s="78"/>
      <c r="G280" s="78"/>
      <c r="H280" s="78"/>
      <c r="I280" s="78"/>
      <c r="J280" s="78"/>
      <c r="K280" s="76"/>
      <c r="L280" s="76"/>
    </row>
    <row r="281" spans="1:12">
      <c r="A281" s="77"/>
      <c r="B281" s="77"/>
      <c r="C281" s="225"/>
      <c r="D281" s="78"/>
      <c r="E281" s="78"/>
      <c r="F281" s="78"/>
      <c r="G281" s="78"/>
      <c r="H281" s="78"/>
      <c r="I281" s="78"/>
      <c r="J281" s="78"/>
      <c r="K281" s="76"/>
      <c r="L281" s="76"/>
    </row>
    <row r="282" spans="1:12">
      <c r="A282" s="77" t="s">
        <v>313</v>
      </c>
      <c r="B282" s="201">
        <v>2</v>
      </c>
      <c r="C282" s="201">
        <v>300</v>
      </c>
      <c r="D282" s="78"/>
      <c r="E282" s="78"/>
      <c r="F282" s="78"/>
      <c r="G282" s="78"/>
      <c r="H282" s="78"/>
      <c r="I282" s="78"/>
      <c r="J282" s="78"/>
      <c r="K282" s="76"/>
      <c r="L282" s="76"/>
    </row>
    <row r="283" spans="1:12">
      <c r="A283" s="77" t="s">
        <v>145</v>
      </c>
      <c r="B283" s="77">
        <v>500</v>
      </c>
      <c r="C283" s="201">
        <v>8</v>
      </c>
      <c r="D283" s="78"/>
      <c r="E283" s="78"/>
      <c r="F283" s="78"/>
      <c r="G283" s="78"/>
      <c r="H283" s="78"/>
      <c r="I283" s="78"/>
      <c r="J283" s="78"/>
      <c r="K283" s="76"/>
      <c r="L283" s="76"/>
    </row>
    <row r="284" spans="1:12">
      <c r="A284" s="77" t="s">
        <v>466</v>
      </c>
      <c r="B284" s="77"/>
      <c r="C284" s="201">
        <v>45</v>
      </c>
      <c r="D284" s="78"/>
      <c r="E284" s="78"/>
      <c r="F284" s="78"/>
      <c r="G284" s="78"/>
      <c r="H284" s="78"/>
      <c r="I284" s="78"/>
      <c r="J284" s="78"/>
      <c r="K284" s="76"/>
      <c r="L284" s="76"/>
    </row>
    <row r="285" spans="1:12">
      <c r="A285" s="77" t="s">
        <v>465</v>
      </c>
      <c r="B285" s="77"/>
      <c r="C285" s="201">
        <v>50</v>
      </c>
      <c r="D285" s="78"/>
      <c r="E285" s="78"/>
      <c r="F285" s="78"/>
      <c r="G285" s="78"/>
      <c r="H285" s="78"/>
      <c r="I285" s="78"/>
      <c r="J285" s="78"/>
      <c r="K285" s="76"/>
      <c r="L285" s="76"/>
    </row>
    <row r="286" spans="1:12">
      <c r="A286" s="9"/>
      <c r="B286" s="9"/>
      <c r="C286" s="9"/>
      <c r="D286" s="9"/>
      <c r="E286" s="9"/>
      <c r="F286" s="9"/>
      <c r="G286" s="9"/>
      <c r="H286" s="9"/>
      <c r="I286" s="9"/>
      <c r="J286" s="9"/>
      <c r="K286" s="76"/>
      <c r="L286" s="76"/>
    </row>
    <row r="287" spans="1:12">
      <c r="A287" s="9"/>
      <c r="B287" s="9"/>
      <c r="C287" s="9"/>
      <c r="D287" s="9"/>
      <c r="E287" s="9"/>
      <c r="F287" s="9"/>
      <c r="G287" s="9"/>
      <c r="H287" s="9"/>
      <c r="I287" s="9"/>
      <c r="J287" s="9"/>
      <c r="K287" s="76"/>
      <c r="L287" s="76"/>
    </row>
    <row r="288" spans="1:12">
      <c r="A288" s="9"/>
      <c r="B288" s="9"/>
      <c r="C288" s="9"/>
      <c r="D288" s="9"/>
      <c r="E288" s="9"/>
      <c r="F288" s="9"/>
      <c r="G288" s="9"/>
      <c r="H288" s="9"/>
      <c r="I288" s="9"/>
      <c r="J288" s="9"/>
      <c r="K288" s="76"/>
      <c r="L288" s="76"/>
    </row>
    <row r="289" spans="1:20">
      <c r="A289" s="77" t="s">
        <v>344</v>
      </c>
      <c r="B289" s="77"/>
      <c r="C289" s="77"/>
      <c r="D289" s="171"/>
      <c r="E289" s="171"/>
      <c r="F289" s="171"/>
      <c r="G289" s="171"/>
      <c r="H289" s="171"/>
      <c r="I289" s="171"/>
      <c r="J289" s="171"/>
      <c r="K289" s="76"/>
      <c r="L289" s="76"/>
    </row>
    <row r="290" spans="1:20">
      <c r="A290" s="77" t="s">
        <v>345</v>
      </c>
      <c r="B290" s="77"/>
      <c r="C290" s="171"/>
      <c r="D290" s="171"/>
      <c r="E290" s="171"/>
      <c r="F290" s="171"/>
      <c r="G290" s="171"/>
      <c r="H290" s="171"/>
      <c r="I290" s="171"/>
      <c r="J290" s="171"/>
      <c r="K290" s="76"/>
      <c r="L290" s="76"/>
    </row>
    <row r="291" spans="1:20">
      <c r="A291" s="77"/>
      <c r="B291" s="77"/>
      <c r="C291" s="174"/>
      <c r="D291" s="171"/>
      <c r="E291" s="171"/>
      <c r="F291" s="171"/>
      <c r="G291" s="171"/>
      <c r="H291" s="171"/>
      <c r="I291" s="171"/>
      <c r="J291" s="171"/>
      <c r="K291" s="76"/>
      <c r="L291" s="76"/>
      <c r="M291" s="76"/>
      <c r="N291" s="76"/>
      <c r="O291" s="76"/>
      <c r="P291" s="76"/>
      <c r="Q291" s="76"/>
      <c r="R291" s="76"/>
      <c r="S291" s="76"/>
      <c r="T291" s="76"/>
    </row>
    <row r="292" spans="1:20">
      <c r="A292" s="79" t="s">
        <v>322</v>
      </c>
      <c r="B292" s="79"/>
      <c r="C292" s="79"/>
      <c r="D292" s="95"/>
      <c r="E292" s="95"/>
      <c r="F292" s="95"/>
      <c r="G292" s="95"/>
      <c r="H292" s="95"/>
      <c r="I292" s="95"/>
      <c r="J292" s="95"/>
      <c r="K292" s="76"/>
      <c r="L292" s="76"/>
      <c r="M292" s="76"/>
      <c r="N292" s="76"/>
      <c r="O292" s="76"/>
      <c r="P292" s="76"/>
      <c r="Q292" s="76"/>
      <c r="R292" s="76"/>
      <c r="S292" s="76"/>
      <c r="T292" s="76"/>
    </row>
    <row r="293" spans="1:20">
      <c r="A293" s="79" t="s">
        <v>310</v>
      </c>
      <c r="B293" s="77"/>
      <c r="C293" s="77"/>
      <c r="D293" s="90"/>
      <c r="E293" s="90"/>
      <c r="F293" s="90"/>
      <c r="G293" s="90"/>
      <c r="H293" s="90"/>
      <c r="I293" s="77"/>
      <c r="J293" s="77"/>
      <c r="K293" s="76"/>
      <c r="L293" s="76"/>
      <c r="M293" s="76"/>
      <c r="N293" s="76"/>
      <c r="O293" s="76"/>
      <c r="P293" s="76"/>
      <c r="Q293" s="76"/>
      <c r="R293" s="76"/>
      <c r="S293" s="76"/>
      <c r="T293" s="76"/>
    </row>
    <row r="294" spans="1:20">
      <c r="A294" s="77" t="s">
        <v>188</v>
      </c>
      <c r="B294" s="201">
        <v>0</v>
      </c>
      <c r="C294" s="225">
        <v>0</v>
      </c>
      <c r="D294" s="78"/>
      <c r="E294" s="78"/>
      <c r="F294" s="78"/>
      <c r="G294" s="78"/>
      <c r="H294" s="78"/>
      <c r="I294" s="78"/>
      <c r="J294" s="78"/>
      <c r="K294" s="76"/>
      <c r="L294" s="76"/>
      <c r="M294" s="76"/>
      <c r="N294" s="76"/>
      <c r="O294" s="76"/>
      <c r="P294" s="76"/>
      <c r="Q294" s="76"/>
      <c r="R294" s="76"/>
      <c r="S294" s="76"/>
      <c r="T294" s="76"/>
    </row>
    <row r="295" spans="1:20">
      <c r="A295" s="77"/>
      <c r="B295" s="201"/>
      <c r="C295" s="225"/>
      <c r="D295" s="78"/>
      <c r="E295" s="78"/>
      <c r="F295" s="78"/>
      <c r="G295" s="78"/>
      <c r="H295" s="78"/>
      <c r="I295" s="78"/>
      <c r="J295" s="78"/>
      <c r="K295" s="76"/>
      <c r="L295" s="76"/>
      <c r="M295" s="76"/>
      <c r="N295" s="162"/>
      <c r="O295" s="76"/>
      <c r="P295" s="76"/>
      <c r="Q295" s="76"/>
      <c r="R295" s="76"/>
      <c r="S295" s="76"/>
      <c r="T295" s="76"/>
    </row>
    <row r="296" spans="1:20">
      <c r="A296" s="77"/>
      <c r="B296" s="201"/>
      <c r="C296" s="225"/>
      <c r="D296" s="78"/>
      <c r="E296" s="78"/>
      <c r="F296" s="78"/>
      <c r="G296" s="78"/>
      <c r="H296" s="78"/>
      <c r="I296" s="78"/>
      <c r="J296" s="78"/>
      <c r="K296" s="76"/>
      <c r="L296" s="76"/>
      <c r="M296" s="76"/>
      <c r="N296" s="76"/>
      <c r="O296" s="76"/>
      <c r="P296" s="76"/>
      <c r="Q296" s="76"/>
      <c r="R296" s="76"/>
      <c r="S296" s="76"/>
      <c r="T296" s="76"/>
    </row>
    <row r="297" spans="1:20">
      <c r="A297" s="77"/>
      <c r="B297" s="201"/>
      <c r="C297" s="225"/>
      <c r="D297" s="78"/>
      <c r="E297" s="78"/>
      <c r="F297" s="78"/>
      <c r="G297" s="78"/>
      <c r="H297" s="78"/>
      <c r="I297" s="78"/>
      <c r="J297" s="78"/>
      <c r="K297" s="76"/>
      <c r="L297" s="76"/>
      <c r="M297" s="76"/>
      <c r="N297" s="76"/>
      <c r="O297" s="76"/>
      <c r="P297" s="76"/>
      <c r="Q297" s="76"/>
      <c r="R297" s="76"/>
      <c r="S297" s="76"/>
      <c r="T297" s="76"/>
    </row>
    <row r="298" spans="1:20">
      <c r="A298" s="77"/>
      <c r="B298" s="201"/>
      <c r="C298" s="225"/>
      <c r="D298" s="78"/>
      <c r="E298" s="78"/>
      <c r="F298" s="78"/>
      <c r="G298" s="78"/>
      <c r="H298" s="78"/>
      <c r="I298" s="78"/>
      <c r="J298" s="78"/>
      <c r="K298" s="76"/>
      <c r="L298" s="76"/>
      <c r="M298" s="76"/>
      <c r="N298" s="76"/>
      <c r="O298" s="76"/>
      <c r="P298" s="76"/>
      <c r="Q298" s="76"/>
      <c r="R298" s="76"/>
      <c r="S298" s="76"/>
      <c r="T298" s="76"/>
    </row>
    <row r="299" spans="1:20">
      <c r="A299" s="77"/>
      <c r="B299" s="201"/>
      <c r="C299" s="225"/>
      <c r="D299" s="78"/>
      <c r="E299" s="78"/>
      <c r="F299" s="78"/>
      <c r="G299" s="78"/>
      <c r="H299" s="78"/>
      <c r="I299" s="78"/>
      <c r="J299" s="78"/>
      <c r="K299" s="76"/>
      <c r="L299" s="76"/>
      <c r="M299" s="76"/>
      <c r="N299" s="76"/>
      <c r="O299" s="76"/>
      <c r="P299" s="76"/>
      <c r="Q299" s="76"/>
      <c r="R299" s="76"/>
      <c r="S299" s="76"/>
      <c r="T299" s="76"/>
    </row>
    <row r="300" spans="1:20">
      <c r="A300" s="77"/>
      <c r="B300" s="201"/>
      <c r="C300" s="225"/>
      <c r="D300" s="78"/>
      <c r="E300" s="78"/>
      <c r="F300" s="78"/>
      <c r="G300" s="78"/>
      <c r="H300" s="78"/>
      <c r="I300" s="78"/>
      <c r="J300" s="78"/>
      <c r="K300" s="76"/>
      <c r="L300" s="76"/>
      <c r="M300" s="76"/>
      <c r="N300" s="76"/>
      <c r="O300" s="76"/>
      <c r="P300" s="76"/>
      <c r="Q300" s="76"/>
      <c r="R300" s="76"/>
      <c r="S300" s="76"/>
      <c r="T300" s="76"/>
    </row>
    <row r="301" spans="1:20">
      <c r="A301" s="79" t="s">
        <v>326</v>
      </c>
      <c r="B301" s="206"/>
      <c r="C301" s="206"/>
      <c r="D301" s="95"/>
      <c r="E301" s="95"/>
      <c r="F301" s="95"/>
      <c r="G301" s="95"/>
      <c r="H301" s="95"/>
      <c r="I301" s="95"/>
      <c r="J301" s="95"/>
      <c r="K301" s="76"/>
      <c r="L301" s="76"/>
      <c r="M301" s="76"/>
      <c r="N301" s="162"/>
      <c r="O301" s="76"/>
      <c r="P301" s="76"/>
      <c r="Q301" s="76"/>
      <c r="R301" s="76"/>
      <c r="S301" s="76"/>
      <c r="T301" s="76"/>
    </row>
    <row r="302" spans="1:20">
      <c r="A302" s="79" t="s">
        <v>130</v>
      </c>
      <c r="B302" s="79"/>
      <c r="C302" s="79"/>
      <c r="D302" s="95"/>
      <c r="E302" s="95"/>
      <c r="F302" s="95"/>
      <c r="G302" s="95"/>
      <c r="H302" s="95"/>
      <c r="I302" s="95"/>
      <c r="J302" s="95"/>
      <c r="K302" s="76"/>
      <c r="L302" s="76"/>
      <c r="M302" s="76"/>
      <c r="N302" s="76"/>
      <c r="O302" s="76"/>
      <c r="P302" s="76"/>
      <c r="Q302" s="76"/>
      <c r="R302" s="76"/>
      <c r="S302" s="76"/>
      <c r="T302" s="76"/>
    </row>
    <row r="303" spans="1:20">
      <c r="A303" s="77"/>
      <c r="B303" s="77"/>
      <c r="C303" s="77"/>
      <c r="D303" s="90"/>
      <c r="E303" s="90"/>
      <c r="F303" s="90"/>
      <c r="G303" s="90"/>
      <c r="H303" s="90"/>
      <c r="I303" s="77"/>
      <c r="J303" s="77"/>
      <c r="K303" s="76"/>
      <c r="L303" s="76"/>
      <c r="M303" s="76"/>
      <c r="N303" s="76"/>
      <c r="O303" s="76"/>
      <c r="P303" s="76"/>
      <c r="Q303" s="76"/>
      <c r="R303" s="76"/>
      <c r="S303" s="76"/>
      <c r="T303" s="76"/>
    </row>
    <row r="304" spans="1:20">
      <c r="A304" s="79"/>
      <c r="B304" s="79"/>
      <c r="C304" s="79"/>
      <c r="D304" s="90"/>
      <c r="E304" s="90"/>
      <c r="F304" s="90"/>
      <c r="G304" s="90"/>
      <c r="H304" s="90"/>
      <c r="I304" s="77"/>
      <c r="J304" s="77"/>
      <c r="K304" s="76"/>
      <c r="L304" s="76"/>
      <c r="M304" s="76"/>
      <c r="N304" s="76"/>
      <c r="O304" s="76"/>
      <c r="P304" s="76"/>
      <c r="Q304" s="76"/>
      <c r="R304" s="76"/>
      <c r="S304" s="76"/>
      <c r="T304" s="76"/>
    </row>
    <row r="305" spans="1:20">
      <c r="A305" s="79" t="s">
        <v>315</v>
      </c>
      <c r="B305" s="79"/>
      <c r="C305" s="79"/>
      <c r="D305" s="95"/>
      <c r="E305" s="95"/>
      <c r="F305" s="95"/>
      <c r="G305" s="95"/>
      <c r="H305" s="95"/>
      <c r="I305" s="95"/>
      <c r="J305" s="95"/>
      <c r="K305" s="76"/>
      <c r="L305" s="76"/>
      <c r="M305" s="76"/>
      <c r="N305" s="76"/>
      <c r="O305" s="76"/>
      <c r="P305" s="76"/>
      <c r="Q305" s="76"/>
      <c r="R305" s="76"/>
      <c r="S305" s="76"/>
      <c r="T305" s="76"/>
    </row>
    <row r="306" spans="1:20">
      <c r="A306" s="76"/>
      <c r="B306" s="76"/>
      <c r="C306" s="76"/>
      <c r="D306" s="76"/>
      <c r="E306" s="76"/>
      <c r="F306" s="76"/>
      <c r="G306" s="76"/>
      <c r="H306" s="76"/>
      <c r="I306" s="76"/>
      <c r="J306" s="76"/>
    </row>
    <row r="307" spans="1:20">
      <c r="A307" s="76" t="s">
        <v>51</v>
      </c>
      <c r="B307" s="76"/>
      <c r="C307" s="76"/>
      <c r="D307" s="76"/>
      <c r="E307" s="76"/>
      <c r="F307" s="76"/>
      <c r="G307" s="76"/>
      <c r="H307" s="76"/>
      <c r="I307" s="76"/>
      <c r="J307" s="76"/>
    </row>
    <row r="308" spans="1:20">
      <c r="A308" s="364" t="s">
        <v>429</v>
      </c>
      <c r="B308" s="364"/>
      <c r="C308" s="364"/>
      <c r="D308" s="364"/>
      <c r="E308" s="364"/>
      <c r="F308" s="364"/>
      <c r="G308" s="364"/>
      <c r="H308" s="364"/>
      <c r="I308" s="364"/>
      <c r="J308" s="364"/>
    </row>
    <row r="310" spans="1:20">
      <c r="A310" t="s">
        <v>542</v>
      </c>
    </row>
    <row r="311" spans="1:20">
      <c r="A311">
        <v>1</v>
      </c>
      <c r="B311" t="s">
        <v>555</v>
      </c>
    </row>
    <row r="312" spans="1:20">
      <c r="A312">
        <v>2</v>
      </c>
      <c r="B312" t="s">
        <v>556</v>
      </c>
    </row>
    <row r="313" spans="1:20">
      <c r="A313">
        <v>3</v>
      </c>
      <c r="B313" s="76" t="s">
        <v>606</v>
      </c>
    </row>
  </sheetData>
  <mergeCells count="5">
    <mergeCell ref="A170:J170"/>
    <mergeCell ref="A2:H2"/>
    <mergeCell ref="A308:J308"/>
    <mergeCell ref="F4:H4"/>
    <mergeCell ref="A3:H3"/>
  </mergeCells>
  <pageMargins left="0.7" right="0.7" top="0.75" bottom="0.75" header="0.3" footer="0.3"/>
  <pageSetup paperSize="9" scale="6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M197"/>
  <sheetViews>
    <sheetView view="pageBreakPreview" topLeftCell="A148" zoomScale="80" zoomScaleSheetLayoutView="80" workbookViewId="0">
      <selection activeCell="D166" sqref="D166"/>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12" ht="18.75">
      <c r="A3" s="362" t="s">
        <v>709</v>
      </c>
      <c r="B3" s="362"/>
      <c r="C3" s="362"/>
      <c r="D3" s="362"/>
      <c r="E3" s="362"/>
      <c r="F3" s="362"/>
      <c r="G3" s="362"/>
      <c r="H3" s="362"/>
    </row>
    <row r="4" spans="1:12" ht="18.75">
      <c r="A4" s="362" t="s">
        <v>592</v>
      </c>
      <c r="B4" s="362"/>
      <c r="C4" s="362"/>
      <c r="D4" s="362"/>
      <c r="E4" s="362"/>
      <c r="F4" s="362"/>
      <c r="G4" s="362"/>
      <c r="H4" s="362"/>
    </row>
    <row r="5" spans="1:12">
      <c r="A5" s="76" t="s">
        <v>161</v>
      </c>
      <c r="B5" s="218">
        <v>10</v>
      </c>
      <c r="C5" s="76" t="s">
        <v>475</v>
      </c>
      <c r="D5" s="76"/>
      <c r="E5" s="76"/>
      <c r="F5" s="76"/>
      <c r="G5" s="76"/>
      <c r="H5" s="76"/>
    </row>
    <row r="6" spans="1:12">
      <c r="A6" s="76" t="s">
        <v>162</v>
      </c>
      <c r="B6" s="247">
        <v>8</v>
      </c>
      <c r="C6" s="76"/>
      <c r="D6" s="76"/>
      <c r="E6" s="76"/>
      <c r="F6" s="76"/>
      <c r="G6" s="76"/>
      <c r="H6" s="76"/>
    </row>
    <row r="7" spans="1:12">
      <c r="A7" s="76"/>
      <c r="B7" s="247"/>
      <c r="C7" s="76"/>
      <c r="D7" s="76"/>
      <c r="E7" s="76"/>
      <c r="F7" s="76"/>
      <c r="G7" s="76"/>
      <c r="H7" s="76"/>
    </row>
    <row r="8" spans="1:12">
      <c r="A8" s="76"/>
      <c r="B8" s="247"/>
      <c r="C8" s="76"/>
      <c r="D8" s="76"/>
      <c r="E8" s="76"/>
      <c r="F8" s="76"/>
      <c r="G8" s="76"/>
      <c r="H8" s="76"/>
    </row>
    <row r="9" spans="1:12">
      <c r="A9" s="76"/>
      <c r="B9" s="76"/>
      <c r="C9" s="76"/>
      <c r="D9" s="76"/>
      <c r="E9" s="76"/>
      <c r="F9" s="76"/>
      <c r="G9" s="76"/>
      <c r="H9" s="76"/>
    </row>
    <row r="10" spans="1:12">
      <c r="A10" s="76"/>
      <c r="B10" s="76"/>
      <c r="C10" s="76"/>
      <c r="D10" s="76"/>
      <c r="E10" s="76"/>
      <c r="F10" s="76"/>
      <c r="G10" s="76"/>
      <c r="H10" s="76"/>
    </row>
    <row r="11" spans="1:12">
      <c r="A11" s="67" t="s">
        <v>0</v>
      </c>
      <c r="B11" s="68" t="s">
        <v>2</v>
      </c>
      <c r="C11" s="68" t="s">
        <v>3</v>
      </c>
      <c r="D11" s="68" t="s">
        <v>4</v>
      </c>
      <c r="E11" s="68" t="s">
        <v>5</v>
      </c>
      <c r="F11" s="68" t="s">
        <v>6</v>
      </c>
      <c r="G11" s="68" t="s">
        <v>169</v>
      </c>
      <c r="H11" s="68" t="s">
        <v>168</v>
      </c>
    </row>
    <row r="12" spans="1:12">
      <c r="A12" s="77" t="s">
        <v>170</v>
      </c>
      <c r="B12" s="272">
        <f>B32/($B$5*$B$6)</f>
        <v>328.41774062499996</v>
      </c>
      <c r="C12" s="272">
        <f t="shared" ref="C12:H12" si="0">C32/($B$5*$B$6)</f>
        <v>353.68064375000006</v>
      </c>
      <c r="D12" s="272">
        <f t="shared" si="0"/>
        <v>378.9435468750001</v>
      </c>
      <c r="E12" s="272">
        <f t="shared" si="0"/>
        <v>404.20645000000013</v>
      </c>
      <c r="F12" s="272">
        <f t="shared" si="0"/>
        <v>429.46935312500011</v>
      </c>
      <c r="G12" s="272">
        <f t="shared" si="0"/>
        <v>454.73225625000015</v>
      </c>
      <c r="H12" s="272">
        <f t="shared" si="0"/>
        <v>479.99515937500018</v>
      </c>
    </row>
    <row r="13" spans="1:12">
      <c r="A13" s="77" t="str">
        <f>'10.Grain Production details'!A67</f>
        <v>Soybean</v>
      </c>
      <c r="B13" s="77">
        <f>'10.Grain Production details'!B67</f>
        <v>0</v>
      </c>
      <c r="C13" s="77">
        <f>'10.Grain Production details'!C67</f>
        <v>0</v>
      </c>
      <c r="D13" s="77">
        <f>'10.Grain Production details'!D67</f>
        <v>0</v>
      </c>
      <c r="E13" s="77">
        <f>'10.Grain Production details'!E67</f>
        <v>0</v>
      </c>
      <c r="F13" s="77">
        <f>'10.Grain Production details'!F67</f>
        <v>0</v>
      </c>
      <c r="G13" s="77">
        <f>'10.Grain Production details'!G67</f>
        <v>0</v>
      </c>
      <c r="H13" s="77">
        <f>'10.Grain Production details'!H67</f>
        <v>0</v>
      </c>
    </row>
    <row r="14" spans="1:12">
      <c r="A14" s="77" t="str">
        <f>'10.Grain Production details'!A68</f>
        <v>Red Gram/Tur</v>
      </c>
      <c r="B14" s="77">
        <f>'10.Grain Production details'!B68</f>
        <v>4739.6212500000001</v>
      </c>
      <c r="C14" s="77">
        <f>'10.Grain Production details'!C68</f>
        <v>5104.2075000000004</v>
      </c>
      <c r="D14" s="77">
        <f>'10.Grain Production details'!D68</f>
        <v>5468.7937500000007</v>
      </c>
      <c r="E14" s="77">
        <f>'10.Grain Production details'!E68</f>
        <v>5833.380000000001</v>
      </c>
      <c r="F14" s="77">
        <f>'10.Grain Production details'!F68</f>
        <v>6197.9662500000013</v>
      </c>
      <c r="G14" s="77">
        <f>'10.Grain Production details'!G68</f>
        <v>6562.5525000000016</v>
      </c>
      <c r="H14" s="77">
        <f>'10.Grain Production details'!H68</f>
        <v>6927.1387500000019</v>
      </c>
      <c r="L14">
        <f>11514/10</f>
        <v>1151.4000000000001</v>
      </c>
    </row>
    <row r="15" spans="1:12">
      <c r="A15" s="77" t="str">
        <f>'10.Grain Production details'!A69</f>
        <v>Paddy/Rice</v>
      </c>
      <c r="B15" s="77">
        <f>'10.Grain Production details'!B69</f>
        <v>0</v>
      </c>
      <c r="C15" s="77">
        <f>'10.Grain Production details'!C69</f>
        <v>0</v>
      </c>
      <c r="D15" s="77">
        <f>'10.Grain Production details'!D69</f>
        <v>0</v>
      </c>
      <c r="E15" s="77">
        <f>'10.Grain Production details'!E69</f>
        <v>0</v>
      </c>
      <c r="F15" s="77">
        <f>'10.Grain Production details'!F69</f>
        <v>0</v>
      </c>
      <c r="G15" s="77">
        <f>'10.Grain Production details'!G69</f>
        <v>0</v>
      </c>
      <c r="H15" s="77">
        <f>'10.Grain Production details'!H69</f>
        <v>0</v>
      </c>
    </row>
    <row r="16" spans="1:12">
      <c r="A16" s="77" t="str">
        <f>'10.Grain Production details'!A70</f>
        <v>Green Gram/ Moong</v>
      </c>
      <c r="B16" s="77">
        <f>'10.Grain Production details'!B70</f>
        <v>6519.058</v>
      </c>
      <c r="C16" s="77">
        <f>'10.Grain Production details'!C70</f>
        <v>7020.5240000000003</v>
      </c>
      <c r="D16" s="77">
        <f>'10.Grain Production details'!D70</f>
        <v>7521.9900000000007</v>
      </c>
      <c r="E16" s="77">
        <f>'10.Grain Production details'!E70</f>
        <v>8023.456000000001</v>
      </c>
      <c r="F16" s="77">
        <f>'10.Grain Production details'!F70</f>
        <v>8524.9220000000023</v>
      </c>
      <c r="G16" s="77">
        <f>'10.Grain Production details'!G70</f>
        <v>9026.3880000000026</v>
      </c>
      <c r="H16" s="77">
        <f>'10.Grain Production details'!H70</f>
        <v>9527.854000000003</v>
      </c>
    </row>
    <row r="17" spans="1:8">
      <c r="A17" s="77" t="str">
        <f>'10.Grain Production details'!A71</f>
        <v>Maize</v>
      </c>
      <c r="B17" s="77">
        <f>'10.Grain Production details'!B71</f>
        <v>0</v>
      </c>
      <c r="C17" s="77">
        <f>'10.Grain Production details'!C71</f>
        <v>0</v>
      </c>
      <c r="D17" s="77">
        <f>'10.Grain Production details'!D71</f>
        <v>0</v>
      </c>
      <c r="E17" s="77">
        <f>'10.Grain Production details'!E71</f>
        <v>0</v>
      </c>
      <c r="F17" s="77">
        <f>'10.Grain Production details'!F71</f>
        <v>0</v>
      </c>
      <c r="G17" s="77">
        <f>'10.Grain Production details'!G71</f>
        <v>0</v>
      </c>
      <c r="H17" s="77">
        <f>'10.Grain Production details'!H71</f>
        <v>0</v>
      </c>
    </row>
    <row r="18" spans="1:8">
      <c r="A18" s="77" t="str">
        <f>'10.Grain Production details'!A72</f>
        <v>Black Gram/Udid</v>
      </c>
      <c r="B18" s="77">
        <f>'10.Grain Production details'!B72</f>
        <v>5986.89</v>
      </c>
      <c r="C18" s="77">
        <f>'10.Grain Production details'!C72</f>
        <v>6447.420000000001</v>
      </c>
      <c r="D18" s="77">
        <f>'10.Grain Production details'!D72</f>
        <v>6907.9500000000016</v>
      </c>
      <c r="E18" s="77">
        <f>'10.Grain Production details'!E72</f>
        <v>7368.4800000000014</v>
      </c>
      <c r="F18" s="77">
        <f>'10.Grain Production details'!F72</f>
        <v>7829.010000000002</v>
      </c>
      <c r="G18" s="77">
        <f>'10.Grain Production details'!G72</f>
        <v>8289.5400000000027</v>
      </c>
      <c r="H18" s="77">
        <f>'10.Grain Production details'!H72</f>
        <v>8750.0700000000033</v>
      </c>
    </row>
    <row r="19" spans="1:8">
      <c r="A19" s="77" t="str">
        <f>'10.Grain Production details'!A73</f>
        <v>Bajra</v>
      </c>
      <c r="B19" s="77">
        <f>'10.Grain Production details'!B73</f>
        <v>0</v>
      </c>
      <c r="C19" s="77">
        <f>'10.Grain Production details'!C73</f>
        <v>0</v>
      </c>
      <c r="D19" s="77">
        <f>'10.Grain Production details'!D73</f>
        <v>0</v>
      </c>
      <c r="E19" s="77">
        <f>'10.Grain Production details'!E73</f>
        <v>0</v>
      </c>
      <c r="F19" s="77">
        <f>'10.Grain Production details'!F73</f>
        <v>0</v>
      </c>
      <c r="G19" s="77">
        <f>'10.Grain Production details'!G73</f>
        <v>0</v>
      </c>
      <c r="H19" s="77">
        <f>'10.Grain Production details'!H73</f>
        <v>0</v>
      </c>
    </row>
    <row r="20" spans="1:8">
      <c r="A20" s="77" t="str">
        <f>'10.Grain Production details'!A74</f>
        <v>Jawar</v>
      </c>
      <c r="B20" s="77">
        <f>'10.Grain Production details'!B74</f>
        <v>0</v>
      </c>
      <c r="C20" s="77">
        <f>'10.Grain Production details'!C74</f>
        <v>0</v>
      </c>
      <c r="D20" s="77">
        <f>'10.Grain Production details'!D74</f>
        <v>0</v>
      </c>
      <c r="E20" s="77">
        <f>'10.Grain Production details'!E74</f>
        <v>0</v>
      </c>
      <c r="F20" s="77">
        <f>'10.Grain Production details'!F74</f>
        <v>0</v>
      </c>
      <c r="G20" s="77">
        <f>'10.Grain Production details'!G74</f>
        <v>0</v>
      </c>
      <c r="H20" s="77">
        <f>'10.Grain Production details'!H74</f>
        <v>0</v>
      </c>
    </row>
    <row r="21" spans="1:8">
      <c r="A21" s="77" t="str">
        <f>'10.Grain Production details'!A75</f>
        <v>Sunflower</v>
      </c>
      <c r="B21" s="77">
        <f>'10.Grain Production details'!B75</f>
        <v>0</v>
      </c>
      <c r="C21" s="77">
        <f>'10.Grain Production details'!C75</f>
        <v>0</v>
      </c>
      <c r="D21" s="77">
        <f>'10.Grain Production details'!D75</f>
        <v>0</v>
      </c>
      <c r="E21" s="77">
        <f>'10.Grain Production details'!E75</f>
        <v>0</v>
      </c>
      <c r="F21" s="77">
        <f>'10.Grain Production details'!F75</f>
        <v>0</v>
      </c>
      <c r="G21" s="77">
        <f>'10.Grain Production details'!G75</f>
        <v>0</v>
      </c>
      <c r="H21" s="77">
        <f>'10.Grain Production details'!H75</f>
        <v>0</v>
      </c>
    </row>
    <row r="22" spans="1:8">
      <c r="A22" s="77" t="str">
        <f>'10.Grain Production details'!A76</f>
        <v>Wheat</v>
      </c>
      <c r="B22" s="77">
        <f>'10.Grain Production details'!B76</f>
        <v>0</v>
      </c>
      <c r="C22" s="77">
        <f>'10.Grain Production details'!C76</f>
        <v>0</v>
      </c>
      <c r="D22" s="77">
        <f>'10.Grain Production details'!D76</f>
        <v>0</v>
      </c>
      <c r="E22" s="77">
        <f>'10.Grain Production details'!E76</f>
        <v>0</v>
      </c>
      <c r="F22" s="77">
        <f>'10.Grain Production details'!F76</f>
        <v>0</v>
      </c>
      <c r="G22" s="77">
        <f>'10.Grain Production details'!G76</f>
        <v>0</v>
      </c>
      <c r="H22" s="77">
        <f>'10.Grain Production details'!H76</f>
        <v>0</v>
      </c>
    </row>
    <row r="23" spans="1:8">
      <c r="A23" s="77" t="str">
        <f>'10.Grain Production details'!A77</f>
        <v>Bengal Gram/Channa</v>
      </c>
      <c r="B23" s="77">
        <f>'10.Grain Production details'!B77</f>
        <v>9027.85</v>
      </c>
      <c r="C23" s="77">
        <f>'10.Grain Production details'!C77</f>
        <v>9722.3000000000011</v>
      </c>
      <c r="D23" s="77">
        <f>'10.Grain Production details'!D77</f>
        <v>10416.750000000002</v>
      </c>
      <c r="E23" s="77">
        <f>'10.Grain Production details'!E77</f>
        <v>11111.200000000003</v>
      </c>
      <c r="F23" s="77">
        <f>'10.Grain Production details'!F77</f>
        <v>11805.650000000003</v>
      </c>
      <c r="G23" s="77">
        <f>'10.Grain Production details'!G77</f>
        <v>12500.100000000004</v>
      </c>
      <c r="H23" s="77">
        <f>'10.Grain Production details'!H77</f>
        <v>13194.550000000005</v>
      </c>
    </row>
    <row r="24" spans="1:8">
      <c r="A24" s="77" t="str">
        <f>'10.Grain Production details'!A78</f>
        <v>Jawar</v>
      </c>
      <c r="B24" s="77">
        <f>'10.Grain Production details'!B78</f>
        <v>0</v>
      </c>
      <c r="C24" s="77">
        <f>'10.Grain Production details'!C78</f>
        <v>0</v>
      </c>
      <c r="D24" s="77">
        <f>'10.Grain Production details'!D78</f>
        <v>0</v>
      </c>
      <c r="E24" s="77">
        <f>'10.Grain Production details'!E78</f>
        <v>0</v>
      </c>
      <c r="F24" s="77">
        <f>'10.Grain Production details'!F78</f>
        <v>0</v>
      </c>
      <c r="G24" s="77">
        <f>'10.Grain Production details'!G78</f>
        <v>0</v>
      </c>
      <c r="H24" s="77">
        <f>'10.Grain Production details'!H78</f>
        <v>0</v>
      </c>
    </row>
    <row r="25" spans="1:8">
      <c r="A25" s="77" t="str">
        <f>'10.Grain Production details'!A79</f>
        <v>Maize</v>
      </c>
      <c r="B25" s="77">
        <f>'10.Grain Production details'!B79</f>
        <v>0</v>
      </c>
      <c r="C25" s="77">
        <f>'10.Grain Production details'!C79</f>
        <v>0</v>
      </c>
      <c r="D25" s="77">
        <f>'10.Grain Production details'!D79</f>
        <v>0</v>
      </c>
      <c r="E25" s="77">
        <f>'10.Grain Production details'!E79</f>
        <v>0</v>
      </c>
      <c r="F25" s="77">
        <f>'10.Grain Production details'!F79</f>
        <v>0</v>
      </c>
      <c r="G25" s="77">
        <f>'10.Grain Production details'!G79</f>
        <v>0</v>
      </c>
      <c r="H25" s="77">
        <f>'10.Grain Production details'!H79</f>
        <v>0</v>
      </c>
    </row>
    <row r="26" spans="1:8">
      <c r="A26" s="77" t="str">
        <f>'10.Grain Production details'!A80</f>
        <v>Safflower</v>
      </c>
      <c r="B26" s="77">
        <f>'10.Grain Production details'!B80</f>
        <v>0</v>
      </c>
      <c r="C26" s="77">
        <f>'10.Grain Production details'!C80</f>
        <v>0</v>
      </c>
      <c r="D26" s="77">
        <f>'10.Grain Production details'!D80</f>
        <v>0</v>
      </c>
      <c r="E26" s="77">
        <f>'10.Grain Production details'!E80</f>
        <v>0</v>
      </c>
      <c r="F26" s="77">
        <f>'10.Grain Production details'!F80</f>
        <v>0</v>
      </c>
      <c r="G26" s="77">
        <f>'10.Grain Production details'!G80</f>
        <v>0</v>
      </c>
      <c r="H26" s="77">
        <f>'10.Grain Production details'!H80</f>
        <v>0</v>
      </c>
    </row>
    <row r="27" spans="1:8">
      <c r="A27" s="77" t="str">
        <f>'10.Grain Production details'!B24</f>
        <v>Wheat</v>
      </c>
      <c r="B27" s="77">
        <f>'10.Grain Production details'!B76</f>
        <v>0</v>
      </c>
      <c r="C27" s="77">
        <f>'10.Grain Production details'!C76</f>
        <v>0</v>
      </c>
      <c r="D27" s="77">
        <f>'10.Grain Production details'!D76</f>
        <v>0</v>
      </c>
      <c r="E27" s="77">
        <f>'10.Grain Production details'!E76</f>
        <v>0</v>
      </c>
      <c r="F27" s="77">
        <f>'10.Grain Production details'!F76</f>
        <v>0</v>
      </c>
      <c r="G27" s="77">
        <f>'10.Grain Production details'!G76</f>
        <v>0</v>
      </c>
      <c r="H27" s="77">
        <f>'10.Grain Production details'!H76</f>
        <v>0</v>
      </c>
    </row>
    <row r="28" spans="1:8">
      <c r="A28" s="77">
        <f>'10.Grain Production details'!A82</f>
        <v>0</v>
      </c>
      <c r="B28" s="77">
        <f>'10.Grain Production details'!B82</f>
        <v>0</v>
      </c>
      <c r="C28" s="77">
        <f>'10.Grain Production details'!C82</f>
        <v>0</v>
      </c>
      <c r="D28" s="77">
        <f>'10.Grain Production details'!D82</f>
        <v>0</v>
      </c>
      <c r="E28" s="77">
        <f>'10.Grain Production details'!E82</f>
        <v>0</v>
      </c>
      <c r="F28" s="77">
        <f>'10.Grain Production details'!F82</f>
        <v>0</v>
      </c>
      <c r="G28" s="77">
        <f>'10.Grain Production details'!G82</f>
        <v>0</v>
      </c>
      <c r="H28" s="77">
        <f>'10.Grain Production details'!H82</f>
        <v>0</v>
      </c>
    </row>
    <row r="29" spans="1:8">
      <c r="A29" s="77">
        <f>'10.Grain Production details'!A83</f>
        <v>0</v>
      </c>
      <c r="B29" s="77">
        <f>'10.Grain Production details'!B83</f>
        <v>0</v>
      </c>
      <c r="C29" s="77">
        <f>'10.Grain Production details'!C83</f>
        <v>0</v>
      </c>
      <c r="D29" s="77">
        <f>'10.Grain Production details'!D83</f>
        <v>0</v>
      </c>
      <c r="E29" s="77">
        <f>'10.Grain Production details'!E83</f>
        <v>0</v>
      </c>
      <c r="F29" s="77">
        <f>'10.Grain Production details'!F83</f>
        <v>0</v>
      </c>
      <c r="G29" s="77">
        <f>'10.Grain Production details'!G83</f>
        <v>0</v>
      </c>
      <c r="H29" s="77">
        <f>'10.Grain Production details'!H83</f>
        <v>0</v>
      </c>
    </row>
    <row r="30" spans="1:8">
      <c r="A30" s="77" t="str">
        <f>'10.Grain Production details'!A84</f>
        <v>Groundnut</v>
      </c>
      <c r="B30" s="77">
        <f>'10.Grain Production details'!B84</f>
        <v>0</v>
      </c>
      <c r="C30" s="77">
        <f>'10.Grain Production details'!C84</f>
        <v>0</v>
      </c>
      <c r="D30" s="77">
        <f>'10.Grain Production details'!D84</f>
        <v>0</v>
      </c>
      <c r="E30" s="77">
        <f>'10.Grain Production details'!E84</f>
        <v>0</v>
      </c>
      <c r="F30" s="77">
        <f>'10.Grain Production details'!F84</f>
        <v>0</v>
      </c>
      <c r="G30" s="77">
        <f>'10.Grain Production details'!G84</f>
        <v>0</v>
      </c>
      <c r="H30" s="77">
        <f>'10.Grain Production details'!H84</f>
        <v>0</v>
      </c>
    </row>
    <row r="31" spans="1:8">
      <c r="A31" s="77">
        <f>'10.Grain Production details'!A85</f>
        <v>0</v>
      </c>
      <c r="B31" s="77">
        <f>'10.Grain Production details'!B85</f>
        <v>0</v>
      </c>
      <c r="C31" s="77">
        <f>'10.Grain Production details'!C85</f>
        <v>0</v>
      </c>
      <c r="D31" s="77">
        <f>'10.Grain Production details'!D85</f>
        <v>0</v>
      </c>
      <c r="E31" s="77">
        <f>'10.Grain Production details'!E85</f>
        <v>0</v>
      </c>
      <c r="F31" s="77">
        <f>'10.Grain Production details'!F85</f>
        <v>0</v>
      </c>
      <c r="G31" s="77">
        <f>'10.Grain Production details'!G85</f>
        <v>0</v>
      </c>
      <c r="H31" s="77">
        <f>'10.Grain Production details'!H85</f>
        <v>0</v>
      </c>
    </row>
    <row r="32" spans="1:8">
      <c r="A32" s="77" t="s">
        <v>467</v>
      </c>
      <c r="B32" s="77">
        <f>SUM(B13:B31)</f>
        <v>26273.419249999999</v>
      </c>
      <c r="C32" s="77">
        <f t="shared" ref="C32:H32" si="1">SUM(C13:C31)</f>
        <v>28294.451500000003</v>
      </c>
      <c r="D32" s="77">
        <f t="shared" si="1"/>
        <v>30315.483750000007</v>
      </c>
      <c r="E32" s="77">
        <f t="shared" si="1"/>
        <v>32336.516000000011</v>
      </c>
      <c r="F32" s="77">
        <f t="shared" si="1"/>
        <v>34357.548250000007</v>
      </c>
      <c r="G32" s="77">
        <f t="shared" si="1"/>
        <v>36378.580500000011</v>
      </c>
      <c r="H32" s="77">
        <f t="shared" si="1"/>
        <v>38399.612750000015</v>
      </c>
    </row>
    <row r="33" spans="1:8">
      <c r="A33" s="277" t="s">
        <v>165</v>
      </c>
      <c r="B33" s="248">
        <v>0.2</v>
      </c>
      <c r="C33" s="248">
        <f>B33</f>
        <v>0.2</v>
      </c>
      <c r="D33" s="248">
        <f t="shared" ref="D33:H33" si="2">C33</f>
        <v>0.2</v>
      </c>
      <c r="E33" s="248">
        <f t="shared" si="2"/>
        <v>0.2</v>
      </c>
      <c r="F33" s="248">
        <f t="shared" si="2"/>
        <v>0.2</v>
      </c>
      <c r="G33" s="248">
        <f t="shared" si="2"/>
        <v>0.2</v>
      </c>
      <c r="H33" s="248">
        <f t="shared" si="2"/>
        <v>0.2</v>
      </c>
    </row>
    <row r="34" spans="1:8">
      <c r="A34" s="77" t="s">
        <v>476</v>
      </c>
      <c r="B34" s="164">
        <v>0.8</v>
      </c>
      <c r="C34" s="164">
        <f t="shared" ref="C34:H34" si="3">1-C33</f>
        <v>0.8</v>
      </c>
      <c r="D34" s="164">
        <f t="shared" si="3"/>
        <v>0.8</v>
      </c>
      <c r="E34" s="164">
        <f t="shared" si="3"/>
        <v>0.8</v>
      </c>
      <c r="F34" s="164">
        <f t="shared" si="3"/>
        <v>0.8</v>
      </c>
      <c r="G34" s="164">
        <f t="shared" si="3"/>
        <v>0.8</v>
      </c>
      <c r="H34" s="164">
        <f t="shared" si="3"/>
        <v>0.8</v>
      </c>
    </row>
    <row r="35" spans="1:8">
      <c r="A35" s="79" t="s">
        <v>710</v>
      </c>
      <c r="B35" s="229">
        <f>B32*B33</f>
        <v>5254.6838500000003</v>
      </c>
      <c r="C35" s="229">
        <f t="shared" ref="C35:H35" si="4">C32*C33</f>
        <v>5658.8903000000009</v>
      </c>
      <c r="D35" s="229">
        <f t="shared" si="4"/>
        <v>6063.0967500000015</v>
      </c>
      <c r="E35" s="229">
        <f t="shared" si="4"/>
        <v>6467.3032000000021</v>
      </c>
      <c r="F35" s="229">
        <f t="shared" si="4"/>
        <v>6871.5096500000018</v>
      </c>
      <c r="G35" s="229">
        <f t="shared" si="4"/>
        <v>7275.7161000000024</v>
      </c>
      <c r="H35" s="229">
        <f t="shared" si="4"/>
        <v>7679.922550000003</v>
      </c>
    </row>
    <row r="36" spans="1:8">
      <c r="A36" s="79" t="s">
        <v>166</v>
      </c>
      <c r="B36" s="95"/>
      <c r="C36" s="95"/>
      <c r="D36" s="95"/>
      <c r="E36" s="95"/>
      <c r="F36" s="95"/>
      <c r="G36" s="95"/>
      <c r="H36" s="95"/>
    </row>
    <row r="37" spans="1:8">
      <c r="A37" s="77" t="str">
        <f t="shared" ref="A37:A47" si="5">A13</f>
        <v>Soybean</v>
      </c>
      <c r="B37" s="78">
        <f t="shared" ref="B37:B47" si="6">B13*$B$34</f>
        <v>0</v>
      </c>
      <c r="C37" s="78">
        <f t="shared" ref="C37:H37" si="7">C13*$B$34</f>
        <v>0</v>
      </c>
      <c r="D37" s="78">
        <f t="shared" si="7"/>
        <v>0</v>
      </c>
      <c r="E37" s="78">
        <f t="shared" si="7"/>
        <v>0</v>
      </c>
      <c r="F37" s="78">
        <f t="shared" si="7"/>
        <v>0</v>
      </c>
      <c r="G37" s="78">
        <f t="shared" si="7"/>
        <v>0</v>
      </c>
      <c r="H37" s="78">
        <f t="shared" si="7"/>
        <v>0</v>
      </c>
    </row>
    <row r="38" spans="1:8">
      <c r="A38" s="77" t="str">
        <f t="shared" si="5"/>
        <v>Red Gram/Tur</v>
      </c>
      <c r="B38" s="78">
        <f t="shared" si="6"/>
        <v>3791.6970000000001</v>
      </c>
      <c r="C38" s="78">
        <f t="shared" ref="C38:C47" si="8">C14*$C$34</f>
        <v>4083.3660000000004</v>
      </c>
      <c r="D38" s="78">
        <f t="shared" ref="D38:D47" si="9">D14*$D$34</f>
        <v>4375.0350000000008</v>
      </c>
      <c r="E38" s="78">
        <f t="shared" ref="E38:E47" si="10">E14*$E$34</f>
        <v>4666.7040000000006</v>
      </c>
      <c r="F38" s="78">
        <f t="shared" ref="F38:F47" si="11">F14*$F$34</f>
        <v>4958.3730000000014</v>
      </c>
      <c r="G38" s="78">
        <f t="shared" ref="G38:G47" si="12">G14*$G$34</f>
        <v>5250.0420000000013</v>
      </c>
      <c r="H38" s="78">
        <f t="shared" ref="H38:H47" si="13">H14*$H$34</f>
        <v>5541.7110000000021</v>
      </c>
    </row>
    <row r="39" spans="1:8">
      <c r="A39" s="77" t="str">
        <f t="shared" si="5"/>
        <v>Paddy/Rice</v>
      </c>
      <c r="B39" s="78">
        <f t="shared" si="6"/>
        <v>0</v>
      </c>
      <c r="C39" s="78">
        <f t="shared" si="8"/>
        <v>0</v>
      </c>
      <c r="D39" s="78">
        <f t="shared" si="9"/>
        <v>0</v>
      </c>
      <c r="E39" s="78">
        <f t="shared" si="10"/>
        <v>0</v>
      </c>
      <c r="F39" s="78">
        <f t="shared" si="11"/>
        <v>0</v>
      </c>
      <c r="G39" s="78">
        <f t="shared" si="12"/>
        <v>0</v>
      </c>
      <c r="H39" s="78">
        <f t="shared" si="13"/>
        <v>0</v>
      </c>
    </row>
    <row r="40" spans="1:8">
      <c r="A40" s="77" t="str">
        <f t="shared" si="5"/>
        <v>Green Gram/ Moong</v>
      </c>
      <c r="B40" s="78">
        <f t="shared" si="6"/>
        <v>5215.2464</v>
      </c>
      <c r="C40" s="78">
        <f t="shared" si="8"/>
        <v>5616.4192000000003</v>
      </c>
      <c r="D40" s="78">
        <f t="shared" si="9"/>
        <v>6017.5920000000006</v>
      </c>
      <c r="E40" s="78">
        <f t="shared" si="10"/>
        <v>6418.7648000000008</v>
      </c>
      <c r="F40" s="78">
        <f t="shared" si="11"/>
        <v>6819.937600000002</v>
      </c>
      <c r="G40" s="78">
        <f t="shared" si="12"/>
        <v>7221.1104000000023</v>
      </c>
      <c r="H40" s="78">
        <f t="shared" si="13"/>
        <v>7622.2832000000026</v>
      </c>
    </row>
    <row r="41" spans="1:8">
      <c r="A41" s="77" t="str">
        <f t="shared" si="5"/>
        <v>Maize</v>
      </c>
      <c r="B41" s="78">
        <f t="shared" si="6"/>
        <v>0</v>
      </c>
      <c r="C41" s="78">
        <f t="shared" si="8"/>
        <v>0</v>
      </c>
      <c r="D41" s="78">
        <f t="shared" si="9"/>
        <v>0</v>
      </c>
      <c r="E41" s="78">
        <f t="shared" si="10"/>
        <v>0</v>
      </c>
      <c r="F41" s="78">
        <f t="shared" si="11"/>
        <v>0</v>
      </c>
      <c r="G41" s="78">
        <f t="shared" si="12"/>
        <v>0</v>
      </c>
      <c r="H41" s="78">
        <f t="shared" si="13"/>
        <v>0</v>
      </c>
    </row>
    <row r="42" spans="1:8">
      <c r="A42" s="77" t="str">
        <f t="shared" si="5"/>
        <v>Black Gram/Udid</v>
      </c>
      <c r="B42" s="78">
        <f t="shared" si="6"/>
        <v>4789.5120000000006</v>
      </c>
      <c r="C42" s="78">
        <f t="shared" si="8"/>
        <v>5157.9360000000015</v>
      </c>
      <c r="D42" s="78">
        <f t="shared" si="9"/>
        <v>5526.3600000000015</v>
      </c>
      <c r="E42" s="78">
        <f t="shared" si="10"/>
        <v>5894.7840000000015</v>
      </c>
      <c r="F42" s="78">
        <f t="shared" si="11"/>
        <v>6263.2080000000024</v>
      </c>
      <c r="G42" s="78">
        <f t="shared" si="12"/>
        <v>6631.6320000000023</v>
      </c>
      <c r="H42" s="78">
        <f t="shared" si="13"/>
        <v>7000.0560000000032</v>
      </c>
    </row>
    <row r="43" spans="1:8">
      <c r="A43" s="77" t="str">
        <f t="shared" si="5"/>
        <v>Bajra</v>
      </c>
      <c r="B43" s="78">
        <f t="shared" si="6"/>
        <v>0</v>
      </c>
      <c r="C43" s="78">
        <f t="shared" si="8"/>
        <v>0</v>
      </c>
      <c r="D43" s="78">
        <f t="shared" si="9"/>
        <v>0</v>
      </c>
      <c r="E43" s="78">
        <f t="shared" si="10"/>
        <v>0</v>
      </c>
      <c r="F43" s="78">
        <f t="shared" si="11"/>
        <v>0</v>
      </c>
      <c r="G43" s="78">
        <f t="shared" si="12"/>
        <v>0</v>
      </c>
      <c r="H43" s="78">
        <f t="shared" si="13"/>
        <v>0</v>
      </c>
    </row>
    <row r="44" spans="1:8">
      <c r="A44" s="77" t="str">
        <f t="shared" si="5"/>
        <v>Jawar</v>
      </c>
      <c r="B44" s="78">
        <f t="shared" si="6"/>
        <v>0</v>
      </c>
      <c r="C44" s="78">
        <f t="shared" si="8"/>
        <v>0</v>
      </c>
      <c r="D44" s="78">
        <f t="shared" si="9"/>
        <v>0</v>
      </c>
      <c r="E44" s="78">
        <f t="shared" si="10"/>
        <v>0</v>
      </c>
      <c r="F44" s="78">
        <f t="shared" si="11"/>
        <v>0</v>
      </c>
      <c r="G44" s="78">
        <f t="shared" si="12"/>
        <v>0</v>
      </c>
      <c r="H44" s="78">
        <f t="shared" si="13"/>
        <v>0</v>
      </c>
    </row>
    <row r="45" spans="1:8">
      <c r="A45" s="77" t="str">
        <f t="shared" si="5"/>
        <v>Sunflower</v>
      </c>
      <c r="B45" s="78">
        <f t="shared" si="6"/>
        <v>0</v>
      </c>
      <c r="C45" s="78">
        <f t="shared" si="8"/>
        <v>0</v>
      </c>
      <c r="D45" s="78">
        <f t="shared" si="9"/>
        <v>0</v>
      </c>
      <c r="E45" s="78">
        <f t="shared" si="10"/>
        <v>0</v>
      </c>
      <c r="F45" s="78">
        <f t="shared" si="11"/>
        <v>0</v>
      </c>
      <c r="G45" s="78">
        <f t="shared" si="12"/>
        <v>0</v>
      </c>
      <c r="H45" s="78">
        <f t="shared" si="13"/>
        <v>0</v>
      </c>
    </row>
    <row r="46" spans="1:8">
      <c r="A46" s="77" t="str">
        <f t="shared" si="5"/>
        <v>Wheat</v>
      </c>
      <c r="B46" s="78">
        <f t="shared" si="6"/>
        <v>0</v>
      </c>
      <c r="C46" s="78">
        <f t="shared" si="8"/>
        <v>0</v>
      </c>
      <c r="D46" s="78">
        <f t="shared" si="9"/>
        <v>0</v>
      </c>
      <c r="E46" s="78">
        <f t="shared" si="10"/>
        <v>0</v>
      </c>
      <c r="F46" s="78">
        <f t="shared" si="11"/>
        <v>0</v>
      </c>
      <c r="G46" s="78">
        <f t="shared" si="12"/>
        <v>0</v>
      </c>
      <c r="H46" s="78">
        <f t="shared" si="13"/>
        <v>0</v>
      </c>
    </row>
    <row r="47" spans="1:8">
      <c r="A47" s="77" t="str">
        <f t="shared" si="5"/>
        <v>Bengal Gram/Channa</v>
      </c>
      <c r="B47" s="78">
        <f t="shared" si="6"/>
        <v>7222.2800000000007</v>
      </c>
      <c r="C47" s="78">
        <f t="shared" si="8"/>
        <v>7777.8400000000011</v>
      </c>
      <c r="D47" s="78">
        <f t="shared" si="9"/>
        <v>8333.4000000000015</v>
      </c>
      <c r="E47" s="78">
        <f t="shared" si="10"/>
        <v>8888.9600000000028</v>
      </c>
      <c r="F47" s="78">
        <f t="shared" si="11"/>
        <v>9444.5200000000023</v>
      </c>
      <c r="G47" s="78">
        <f t="shared" si="12"/>
        <v>10000.080000000004</v>
      </c>
      <c r="H47" s="78">
        <f t="shared" si="13"/>
        <v>10555.640000000005</v>
      </c>
    </row>
    <row r="48" spans="1:8">
      <c r="A48" s="77"/>
      <c r="B48" s="78"/>
      <c r="C48" s="78"/>
      <c r="D48" s="78"/>
      <c r="E48" s="78"/>
      <c r="F48" s="78"/>
      <c r="G48" s="78"/>
      <c r="H48" s="78"/>
    </row>
    <row r="49" spans="1:8">
      <c r="A49" s="77" t="str">
        <f>A24</f>
        <v>Jawar</v>
      </c>
      <c r="B49" s="78">
        <f>B24*$B$34</f>
        <v>0</v>
      </c>
      <c r="C49" s="78">
        <f>C24*$C$34</f>
        <v>0</v>
      </c>
      <c r="D49" s="78">
        <f>D24*$D$34</f>
        <v>0</v>
      </c>
      <c r="E49" s="78">
        <f>E24*$E$34</f>
        <v>0</v>
      </c>
      <c r="F49" s="78">
        <f>F24*$F$34</f>
        <v>0</v>
      </c>
      <c r="G49" s="78">
        <f>G24*$G$34</f>
        <v>0</v>
      </c>
      <c r="H49" s="78">
        <f>H24*$H$34</f>
        <v>0</v>
      </c>
    </row>
    <row r="50" spans="1:8">
      <c r="A50" s="77" t="str">
        <f>A25</f>
        <v>Maize</v>
      </c>
      <c r="B50" s="78">
        <f>B25*$B$34</f>
        <v>0</v>
      </c>
      <c r="C50" s="78">
        <f>C25*$C$34</f>
        <v>0</v>
      </c>
      <c r="D50" s="78">
        <f>D25*$D$34</f>
        <v>0</v>
      </c>
      <c r="E50" s="78">
        <f>E25*$E$34</f>
        <v>0</v>
      </c>
      <c r="F50" s="78">
        <f>F25*$F$34</f>
        <v>0</v>
      </c>
      <c r="G50" s="78">
        <f>G25*$G$34</f>
        <v>0</v>
      </c>
      <c r="H50" s="78">
        <f>H25*$H$34</f>
        <v>0</v>
      </c>
    </row>
    <row r="51" spans="1:8">
      <c r="A51" s="77" t="str">
        <f>A26</f>
        <v>Safflower</v>
      </c>
      <c r="B51" s="78">
        <f>B26*$B$34</f>
        <v>0</v>
      </c>
      <c r="C51" s="78">
        <f>C26*$C$34</f>
        <v>0</v>
      </c>
      <c r="D51" s="78">
        <f>D26*$D$34</f>
        <v>0</v>
      </c>
      <c r="E51" s="78">
        <f>E26*$E$34</f>
        <v>0</v>
      </c>
      <c r="F51" s="78">
        <f>F26*$F$34</f>
        <v>0</v>
      </c>
      <c r="G51" s="78">
        <f>G26*$G$34</f>
        <v>0</v>
      </c>
      <c r="H51" s="78">
        <f>H26*$H$34</f>
        <v>0</v>
      </c>
    </row>
    <row r="52" spans="1:8">
      <c r="A52" s="77"/>
      <c r="B52" s="78"/>
      <c r="C52" s="78"/>
      <c r="D52" s="78"/>
      <c r="E52" s="78"/>
      <c r="F52" s="78"/>
      <c r="G52" s="78"/>
      <c r="H52" s="78"/>
    </row>
    <row r="53" spans="1:8">
      <c r="A53" s="77">
        <f>A28</f>
        <v>0</v>
      </c>
      <c r="B53" s="78">
        <f>B28*$B$34</f>
        <v>0</v>
      </c>
      <c r="C53" s="78">
        <f>C28*$C$34</f>
        <v>0</v>
      </c>
      <c r="D53" s="78">
        <f>D28*$D$34</f>
        <v>0</v>
      </c>
      <c r="E53" s="78">
        <f>E28*$E$34</f>
        <v>0</v>
      </c>
      <c r="F53" s="78">
        <f>F28*$F$34</f>
        <v>0</v>
      </c>
      <c r="G53" s="78">
        <f>G28*$G$34</f>
        <v>0</v>
      </c>
      <c r="H53" s="78">
        <f>H28*$H$34</f>
        <v>0</v>
      </c>
    </row>
    <row r="54" spans="1:8">
      <c r="A54" s="77">
        <f>A29</f>
        <v>0</v>
      </c>
      <c r="B54" s="78">
        <f>B29*$B$34</f>
        <v>0</v>
      </c>
      <c r="C54" s="78">
        <f>C29*$C$34</f>
        <v>0</v>
      </c>
      <c r="D54" s="78">
        <f>D29*$D$34</f>
        <v>0</v>
      </c>
      <c r="E54" s="78">
        <f>E29*$E$34</f>
        <v>0</v>
      </c>
      <c r="F54" s="78">
        <f>F29*$F$34</f>
        <v>0</v>
      </c>
      <c r="G54" s="78">
        <f>G29*$G$34</f>
        <v>0</v>
      </c>
      <c r="H54" s="78">
        <f>H29*$H$34</f>
        <v>0</v>
      </c>
    </row>
    <row r="55" spans="1:8">
      <c r="A55" s="77" t="str">
        <f>A30</f>
        <v>Groundnut</v>
      </c>
      <c r="B55" s="78">
        <f>B30*$B$34</f>
        <v>0</v>
      </c>
      <c r="C55" s="78">
        <f>C30*$C$34</f>
        <v>0</v>
      </c>
      <c r="D55" s="78">
        <f>D30*$D$34</f>
        <v>0</v>
      </c>
      <c r="E55" s="78">
        <f>E30*$E$34</f>
        <v>0</v>
      </c>
      <c r="F55" s="78">
        <f>F30*$F$34</f>
        <v>0</v>
      </c>
      <c r="G55" s="78">
        <f>G30*$G$34</f>
        <v>0</v>
      </c>
      <c r="H55" s="78">
        <f>H30*$H$34</f>
        <v>0</v>
      </c>
    </row>
    <row r="56" spans="1:8">
      <c r="A56" s="77">
        <f>A31</f>
        <v>0</v>
      </c>
      <c r="B56" s="78">
        <f>B31*$B$34</f>
        <v>0</v>
      </c>
      <c r="C56" s="78">
        <f>C31*$C$34</f>
        <v>0</v>
      </c>
      <c r="D56" s="78">
        <f>D31*$D$34</f>
        <v>0</v>
      </c>
      <c r="E56" s="78">
        <f>E31*$E$34</f>
        <v>0</v>
      </c>
      <c r="F56" s="78">
        <f>F31*$F$34</f>
        <v>0</v>
      </c>
      <c r="G56" s="78">
        <f>G31*$G$34</f>
        <v>0</v>
      </c>
      <c r="H56" s="78">
        <f>H31*$H$34</f>
        <v>0</v>
      </c>
    </row>
    <row r="57" spans="1:8">
      <c r="A57" s="77"/>
      <c r="B57" s="77"/>
      <c r="C57" s="77"/>
      <c r="D57" s="77"/>
      <c r="E57" s="77"/>
      <c r="F57" s="77"/>
      <c r="G57" s="77"/>
      <c r="H57" s="77"/>
    </row>
    <row r="58" spans="1:8">
      <c r="A58" s="79" t="s">
        <v>286</v>
      </c>
      <c r="B58" s="77"/>
      <c r="C58" s="77"/>
      <c r="D58" s="77"/>
      <c r="E58" s="77"/>
      <c r="F58" s="77"/>
      <c r="G58" s="77"/>
      <c r="H58" s="77"/>
    </row>
    <row r="59" spans="1:8">
      <c r="A59" s="77" t="str">
        <f>A37</f>
        <v>Soybean</v>
      </c>
      <c r="B59" s="77"/>
      <c r="C59" s="77"/>
      <c r="D59" s="77"/>
      <c r="E59" s="77"/>
      <c r="F59" s="77"/>
      <c r="G59" s="77"/>
      <c r="H59" s="77"/>
    </row>
    <row r="60" spans="1:8">
      <c r="A60" s="77"/>
      <c r="B60" s="77"/>
      <c r="C60" s="77"/>
      <c r="D60" s="77"/>
      <c r="E60" s="77"/>
      <c r="F60" s="77"/>
      <c r="G60" s="77"/>
      <c r="H60" s="77"/>
    </row>
    <row r="61" spans="1:8">
      <c r="A61" s="77"/>
      <c r="B61" s="77"/>
      <c r="C61" s="77"/>
      <c r="D61" s="77"/>
      <c r="E61" s="77"/>
      <c r="F61" s="77"/>
      <c r="G61" s="77"/>
      <c r="H61" s="77"/>
    </row>
    <row r="62" spans="1:8">
      <c r="A62" s="77"/>
      <c r="B62" s="77"/>
      <c r="C62" s="77"/>
      <c r="D62" s="77"/>
      <c r="E62" s="77"/>
      <c r="F62" s="77"/>
      <c r="G62" s="77"/>
      <c r="H62" s="77"/>
    </row>
    <row r="63" spans="1:8">
      <c r="A63" s="77" t="str">
        <f>A38</f>
        <v>Red Gram/Tur</v>
      </c>
      <c r="B63" s="165">
        <f>B38</f>
        <v>3791.6970000000001</v>
      </c>
      <c r="C63" s="165">
        <f t="shared" ref="C63:H63" si="14">C38</f>
        <v>4083.3660000000004</v>
      </c>
      <c r="D63" s="165">
        <f t="shared" si="14"/>
        <v>4375.0350000000008</v>
      </c>
      <c r="E63" s="165">
        <f t="shared" si="14"/>
        <v>4666.7040000000006</v>
      </c>
      <c r="F63" s="165">
        <f t="shared" si="14"/>
        <v>4958.3730000000014</v>
      </c>
      <c r="G63" s="165">
        <f t="shared" si="14"/>
        <v>5250.0420000000013</v>
      </c>
      <c r="H63" s="165">
        <f t="shared" si="14"/>
        <v>5541.7110000000021</v>
      </c>
    </row>
    <row r="64" spans="1:8">
      <c r="A64" s="77" t="s">
        <v>714</v>
      </c>
      <c r="B64" s="165">
        <f>B38*80%</f>
        <v>3033.3576000000003</v>
      </c>
      <c r="C64" s="165">
        <f t="shared" ref="C64:H64" si="15">C38*80%</f>
        <v>3266.6928000000007</v>
      </c>
      <c r="D64" s="165">
        <f t="shared" si="15"/>
        <v>3500.0280000000007</v>
      </c>
      <c r="E64" s="165">
        <f t="shared" si="15"/>
        <v>3733.3632000000007</v>
      </c>
      <c r="F64" s="165">
        <f t="shared" si="15"/>
        <v>3966.6984000000011</v>
      </c>
      <c r="G64" s="165">
        <f t="shared" si="15"/>
        <v>4200.0336000000016</v>
      </c>
      <c r="H64" s="165">
        <f t="shared" si="15"/>
        <v>4433.368800000002</v>
      </c>
    </row>
    <row r="65" spans="1:8">
      <c r="A65" s="77" t="s">
        <v>715</v>
      </c>
      <c r="B65" s="165">
        <f>B63*10%</f>
        <v>379.16970000000003</v>
      </c>
      <c r="C65" s="165">
        <f t="shared" ref="C65:H65" si="16">C63*10%</f>
        <v>408.33660000000009</v>
      </c>
      <c r="D65" s="165">
        <f t="shared" si="16"/>
        <v>437.50350000000009</v>
      </c>
      <c r="E65" s="165">
        <f t="shared" si="16"/>
        <v>466.67040000000009</v>
      </c>
      <c r="F65" s="165">
        <f t="shared" si="16"/>
        <v>495.83730000000014</v>
      </c>
      <c r="G65" s="165">
        <f t="shared" si="16"/>
        <v>525.0042000000002</v>
      </c>
      <c r="H65" s="165">
        <f t="shared" si="16"/>
        <v>554.17110000000025</v>
      </c>
    </row>
    <row r="66" spans="1:8">
      <c r="A66" s="77" t="str">
        <f>A39</f>
        <v>Paddy/Rice</v>
      </c>
      <c r="B66" s="78"/>
      <c r="C66" s="78"/>
      <c r="D66" s="78"/>
      <c r="E66" s="78"/>
      <c r="F66" s="78"/>
      <c r="G66" s="78"/>
      <c r="H66" s="78"/>
    </row>
    <row r="67" spans="1:8">
      <c r="A67" s="77"/>
      <c r="B67" s="78"/>
      <c r="C67" s="78"/>
      <c r="D67" s="78"/>
      <c r="E67" s="78"/>
      <c r="F67" s="78"/>
      <c r="G67" s="78"/>
      <c r="H67" s="78"/>
    </row>
    <row r="68" spans="1:8">
      <c r="A68" s="77"/>
      <c r="B68" s="78"/>
      <c r="C68" s="78"/>
      <c r="D68" s="78"/>
      <c r="E68" s="78"/>
      <c r="F68" s="78"/>
      <c r="G68" s="78"/>
      <c r="H68" s="78"/>
    </row>
    <row r="69" spans="1:8">
      <c r="A69" s="77"/>
      <c r="B69" s="78"/>
      <c r="C69" s="78"/>
      <c r="D69" s="78"/>
      <c r="E69" s="78"/>
      <c r="F69" s="78"/>
      <c r="G69" s="78"/>
      <c r="H69" s="78"/>
    </row>
    <row r="70" spans="1:8">
      <c r="A70" s="77" t="str">
        <f>A40</f>
        <v>Green Gram/ Moong</v>
      </c>
      <c r="B70" s="78">
        <f>B40</f>
        <v>5215.2464</v>
      </c>
      <c r="C70" s="78">
        <f t="shared" ref="C70:H70" si="17">C40</f>
        <v>5616.4192000000003</v>
      </c>
      <c r="D70" s="78">
        <f t="shared" si="17"/>
        <v>6017.5920000000006</v>
      </c>
      <c r="E70" s="78">
        <f t="shared" si="17"/>
        <v>6418.7648000000008</v>
      </c>
      <c r="F70" s="78">
        <f t="shared" si="17"/>
        <v>6819.937600000002</v>
      </c>
      <c r="G70" s="78">
        <f t="shared" si="17"/>
        <v>7221.1104000000023</v>
      </c>
      <c r="H70" s="78">
        <f t="shared" si="17"/>
        <v>7622.2832000000026</v>
      </c>
    </row>
    <row r="71" spans="1:8">
      <c r="A71" s="77" t="s">
        <v>711</v>
      </c>
      <c r="B71" s="339">
        <f>B40*80%</f>
        <v>4172.1971199999998</v>
      </c>
      <c r="C71" s="339">
        <f t="shared" ref="C71:H71" si="18">C40*80%</f>
        <v>4493.1353600000002</v>
      </c>
      <c r="D71" s="339">
        <f t="shared" si="18"/>
        <v>4814.0736000000006</v>
      </c>
      <c r="E71" s="339">
        <f t="shared" si="18"/>
        <v>5135.011840000001</v>
      </c>
      <c r="F71" s="339">
        <f t="shared" si="18"/>
        <v>5455.9500800000023</v>
      </c>
      <c r="G71" s="339">
        <f t="shared" si="18"/>
        <v>5776.8883200000018</v>
      </c>
      <c r="H71" s="339">
        <f t="shared" si="18"/>
        <v>6097.8265600000022</v>
      </c>
    </row>
    <row r="72" spans="1:8">
      <c r="A72" s="77" t="s">
        <v>716</v>
      </c>
      <c r="B72" s="165">
        <f>B70*10%</f>
        <v>521.52463999999998</v>
      </c>
      <c r="C72" s="165">
        <f t="shared" ref="C72:H72" si="19">C70*10%</f>
        <v>561.64192000000003</v>
      </c>
      <c r="D72" s="165">
        <f t="shared" si="19"/>
        <v>601.75920000000008</v>
      </c>
      <c r="E72" s="165">
        <f t="shared" si="19"/>
        <v>641.87648000000013</v>
      </c>
      <c r="F72" s="165">
        <f t="shared" si="19"/>
        <v>681.99376000000029</v>
      </c>
      <c r="G72" s="165">
        <f t="shared" si="19"/>
        <v>722.11104000000023</v>
      </c>
      <c r="H72" s="165">
        <f t="shared" si="19"/>
        <v>762.22832000000028</v>
      </c>
    </row>
    <row r="73" spans="1:8">
      <c r="A73" s="77" t="str">
        <f>A41</f>
        <v>Maize</v>
      </c>
      <c r="B73" s="78">
        <f>B50</f>
        <v>0</v>
      </c>
      <c r="C73" s="78">
        <f t="shared" ref="C73:H73" si="20">C50</f>
        <v>0</v>
      </c>
      <c r="D73" s="78">
        <f t="shared" si="20"/>
        <v>0</v>
      </c>
      <c r="E73" s="78">
        <f t="shared" si="20"/>
        <v>0</v>
      </c>
      <c r="F73" s="78">
        <f t="shared" si="20"/>
        <v>0</v>
      </c>
      <c r="G73" s="78">
        <f t="shared" si="20"/>
        <v>0</v>
      </c>
      <c r="H73" s="78">
        <f t="shared" si="20"/>
        <v>0</v>
      </c>
    </row>
    <row r="74" spans="1:8">
      <c r="A74" s="77" t="s">
        <v>704</v>
      </c>
      <c r="B74" s="78">
        <f>B73*0.9</f>
        <v>0</v>
      </c>
      <c r="C74" s="78">
        <f t="shared" ref="C74:H74" si="21">C73*0.9</f>
        <v>0</v>
      </c>
      <c r="D74" s="78">
        <f t="shared" si="21"/>
        <v>0</v>
      </c>
      <c r="E74" s="78">
        <f t="shared" si="21"/>
        <v>0</v>
      </c>
      <c r="F74" s="78">
        <f t="shared" si="21"/>
        <v>0</v>
      </c>
      <c r="G74" s="78">
        <f t="shared" si="21"/>
        <v>0</v>
      </c>
      <c r="H74" s="78">
        <f t="shared" si="21"/>
        <v>0</v>
      </c>
    </row>
    <row r="75" spans="1:8">
      <c r="A75" s="77"/>
      <c r="B75" s="78"/>
      <c r="C75" s="78"/>
      <c r="D75" s="78"/>
      <c r="E75" s="78"/>
      <c r="F75" s="78"/>
      <c r="G75" s="78"/>
      <c r="H75" s="78"/>
    </row>
    <row r="76" spans="1:8">
      <c r="A76" s="77"/>
      <c r="B76" s="78"/>
      <c r="C76" s="78"/>
      <c r="D76" s="78"/>
      <c r="E76" s="78"/>
      <c r="F76" s="78"/>
      <c r="G76" s="78"/>
      <c r="H76" s="78"/>
    </row>
    <row r="77" spans="1:8">
      <c r="A77" s="77"/>
      <c r="B77" s="78"/>
      <c r="C77" s="78"/>
      <c r="D77" s="78"/>
      <c r="E77" s="78"/>
      <c r="F77" s="78"/>
      <c r="G77" s="78"/>
      <c r="H77" s="78"/>
    </row>
    <row r="78" spans="1:8">
      <c r="A78" s="77" t="str">
        <f>A42</f>
        <v>Black Gram/Udid</v>
      </c>
      <c r="B78" s="78">
        <f>B42</f>
        <v>4789.5120000000006</v>
      </c>
      <c r="C78" s="78">
        <f t="shared" ref="C78:H78" si="22">C42</f>
        <v>5157.9360000000015</v>
      </c>
      <c r="D78" s="78">
        <f t="shared" si="22"/>
        <v>5526.3600000000015</v>
      </c>
      <c r="E78" s="78">
        <f t="shared" si="22"/>
        <v>5894.7840000000015</v>
      </c>
      <c r="F78" s="78">
        <f t="shared" si="22"/>
        <v>6263.2080000000024</v>
      </c>
      <c r="G78" s="78">
        <f t="shared" si="22"/>
        <v>6631.6320000000023</v>
      </c>
      <c r="H78" s="78">
        <f t="shared" si="22"/>
        <v>7000.0560000000032</v>
      </c>
    </row>
    <row r="79" spans="1:8">
      <c r="A79" s="77" t="s">
        <v>712</v>
      </c>
      <c r="B79" s="339">
        <f>B42*80%</f>
        <v>3831.6096000000007</v>
      </c>
      <c r="C79" s="339">
        <f t="shared" ref="C79:H79" si="23">C42*80%</f>
        <v>4126.3488000000016</v>
      </c>
      <c r="D79" s="339">
        <f t="shared" si="23"/>
        <v>4421.0880000000016</v>
      </c>
      <c r="E79" s="339">
        <f t="shared" si="23"/>
        <v>4715.8272000000015</v>
      </c>
      <c r="F79" s="339">
        <f t="shared" si="23"/>
        <v>5010.5664000000024</v>
      </c>
      <c r="G79" s="339">
        <f t="shared" si="23"/>
        <v>5305.3056000000024</v>
      </c>
      <c r="H79" s="339">
        <f t="shared" si="23"/>
        <v>5600.0448000000033</v>
      </c>
    </row>
    <row r="80" spans="1:8">
      <c r="A80" s="77" t="s">
        <v>717</v>
      </c>
      <c r="B80" s="165">
        <f>B78*10%</f>
        <v>478.95120000000009</v>
      </c>
      <c r="C80" s="165">
        <f t="shared" ref="C80:H80" si="24">C78*10%</f>
        <v>515.7936000000002</v>
      </c>
      <c r="D80" s="165">
        <f t="shared" si="24"/>
        <v>552.63600000000019</v>
      </c>
      <c r="E80" s="165">
        <f t="shared" si="24"/>
        <v>589.47840000000019</v>
      </c>
      <c r="F80" s="165">
        <f t="shared" si="24"/>
        <v>626.3208000000003</v>
      </c>
      <c r="G80" s="165">
        <f t="shared" si="24"/>
        <v>663.1632000000003</v>
      </c>
      <c r="H80" s="165">
        <f t="shared" si="24"/>
        <v>700.00560000000041</v>
      </c>
    </row>
    <row r="81" spans="1:8">
      <c r="A81" s="77" t="str">
        <f>A43</f>
        <v>Bajra</v>
      </c>
      <c r="B81" s="78"/>
      <c r="C81" s="78"/>
      <c r="D81" s="78"/>
      <c r="E81" s="78"/>
      <c r="F81" s="78"/>
      <c r="G81" s="78"/>
      <c r="H81" s="78"/>
    </row>
    <row r="82" spans="1:8">
      <c r="A82" s="77"/>
      <c r="B82" s="78"/>
      <c r="C82" s="78"/>
      <c r="D82" s="78"/>
      <c r="E82" s="78"/>
      <c r="F82" s="78"/>
      <c r="G82" s="78"/>
      <c r="H82" s="78"/>
    </row>
    <row r="83" spans="1:8">
      <c r="A83" s="77"/>
      <c r="B83" s="78"/>
      <c r="C83" s="78"/>
      <c r="D83" s="78"/>
      <c r="E83" s="78"/>
      <c r="F83" s="78"/>
      <c r="G83" s="78"/>
      <c r="H83" s="78"/>
    </row>
    <row r="84" spans="1:8">
      <c r="A84" s="77"/>
      <c r="B84" s="78"/>
      <c r="C84" s="78"/>
      <c r="D84" s="78"/>
      <c r="E84" s="78"/>
      <c r="F84" s="78"/>
      <c r="G84" s="78"/>
      <c r="H84" s="78"/>
    </row>
    <row r="85" spans="1:8">
      <c r="A85" s="77"/>
      <c r="B85" s="78"/>
      <c r="C85" s="78"/>
      <c r="D85" s="78"/>
      <c r="E85" s="78"/>
      <c r="F85" s="78"/>
      <c r="G85" s="78"/>
      <c r="H85" s="78"/>
    </row>
    <row r="86" spans="1:8">
      <c r="A86" s="77"/>
      <c r="B86" s="78"/>
      <c r="C86" s="78"/>
      <c r="D86" s="78"/>
      <c r="E86" s="78"/>
      <c r="F86" s="78"/>
      <c r="G86" s="78"/>
      <c r="H86" s="78"/>
    </row>
    <row r="87" spans="1:8">
      <c r="A87" s="77"/>
      <c r="B87" s="78"/>
      <c r="C87" s="78"/>
      <c r="D87" s="78"/>
      <c r="E87" s="78"/>
      <c r="F87" s="78"/>
      <c r="G87" s="78"/>
      <c r="H87" s="78"/>
    </row>
    <row r="88" spans="1:8">
      <c r="A88" s="77" t="str">
        <f>A45</f>
        <v>Sunflower</v>
      </c>
      <c r="B88" s="78"/>
      <c r="C88" s="78"/>
      <c r="D88" s="78"/>
      <c r="E88" s="78"/>
      <c r="F88" s="78"/>
      <c r="G88" s="78"/>
      <c r="H88" s="78"/>
    </row>
    <row r="89" spans="1:8">
      <c r="A89" s="77"/>
      <c r="B89" s="78"/>
      <c r="C89" s="78"/>
      <c r="D89" s="78"/>
      <c r="E89" s="78"/>
      <c r="F89" s="78"/>
      <c r="G89" s="78"/>
      <c r="H89" s="78"/>
    </row>
    <row r="90" spans="1:8">
      <c r="A90" s="77"/>
      <c r="B90" s="78"/>
      <c r="C90" s="78"/>
      <c r="D90" s="78"/>
      <c r="E90" s="78"/>
      <c r="F90" s="78"/>
      <c r="G90" s="78"/>
      <c r="H90" s="78"/>
    </row>
    <row r="91" spans="1:8">
      <c r="A91" s="77"/>
      <c r="B91" s="78"/>
      <c r="C91" s="78"/>
      <c r="D91" s="78"/>
      <c r="E91" s="78"/>
      <c r="F91" s="78"/>
      <c r="G91" s="78"/>
      <c r="H91" s="78"/>
    </row>
    <row r="92" spans="1:8">
      <c r="A92" s="77" t="str">
        <f>A46</f>
        <v>Wheat</v>
      </c>
      <c r="B92" s="78"/>
      <c r="C92" s="78"/>
      <c r="D92" s="78"/>
      <c r="E92" s="78"/>
      <c r="F92" s="78"/>
      <c r="G92" s="78"/>
      <c r="H92" s="78"/>
    </row>
    <row r="93" spans="1:8">
      <c r="A93" s="77" t="s">
        <v>702</v>
      </c>
      <c r="B93" s="78">
        <f>B27*0.9</f>
        <v>0</v>
      </c>
      <c r="C93" s="78">
        <f t="shared" ref="C93:H93" si="25">C27*0.9</f>
        <v>0</v>
      </c>
      <c r="D93" s="78">
        <f t="shared" si="25"/>
        <v>0</v>
      </c>
      <c r="E93" s="78">
        <f t="shared" si="25"/>
        <v>0</v>
      </c>
      <c r="F93" s="78">
        <f t="shared" si="25"/>
        <v>0</v>
      </c>
      <c r="G93" s="78">
        <f t="shared" si="25"/>
        <v>0</v>
      </c>
      <c r="H93" s="78">
        <f t="shared" si="25"/>
        <v>0</v>
      </c>
    </row>
    <row r="94" spans="1:8">
      <c r="A94" s="77" t="s">
        <v>142</v>
      </c>
      <c r="B94" s="78">
        <f>B27*0.1</f>
        <v>0</v>
      </c>
      <c r="C94" s="78">
        <f t="shared" ref="C94:H94" si="26">C27*0.1</f>
        <v>0</v>
      </c>
      <c r="D94" s="78">
        <f t="shared" si="26"/>
        <v>0</v>
      </c>
      <c r="E94" s="78">
        <f t="shared" si="26"/>
        <v>0</v>
      </c>
      <c r="F94" s="78">
        <f t="shared" si="26"/>
        <v>0</v>
      </c>
      <c r="G94" s="78">
        <f t="shared" si="26"/>
        <v>0</v>
      </c>
      <c r="H94" s="78">
        <f t="shared" si="26"/>
        <v>0</v>
      </c>
    </row>
    <row r="95" spans="1:8">
      <c r="A95" s="77"/>
      <c r="B95" s="78"/>
      <c r="C95" s="78"/>
      <c r="D95" s="78"/>
      <c r="E95" s="78"/>
      <c r="F95" s="78"/>
      <c r="G95" s="78"/>
      <c r="H95" s="78"/>
    </row>
    <row r="96" spans="1:8">
      <c r="A96" s="77" t="str">
        <f>A47</f>
        <v>Bengal Gram/Channa</v>
      </c>
      <c r="B96" s="78">
        <f>B47</f>
        <v>7222.2800000000007</v>
      </c>
      <c r="C96" s="78">
        <f t="shared" ref="C96:H96" si="27">C47</f>
        <v>7777.8400000000011</v>
      </c>
      <c r="D96" s="78">
        <f t="shared" si="27"/>
        <v>8333.4000000000015</v>
      </c>
      <c r="E96" s="78">
        <f t="shared" si="27"/>
        <v>8888.9600000000028</v>
      </c>
      <c r="F96" s="78">
        <f t="shared" si="27"/>
        <v>9444.5200000000023</v>
      </c>
      <c r="G96" s="78">
        <f t="shared" si="27"/>
        <v>10000.080000000004</v>
      </c>
      <c r="H96" s="78">
        <f t="shared" si="27"/>
        <v>10555.640000000005</v>
      </c>
    </row>
    <row r="97" spans="1:8">
      <c r="A97" s="77" t="s">
        <v>713</v>
      </c>
      <c r="B97" s="339">
        <f>B47*80%</f>
        <v>5777.8240000000005</v>
      </c>
      <c r="C97" s="339">
        <f t="shared" ref="C97:H97" si="28">C47*80%</f>
        <v>6222.2720000000008</v>
      </c>
      <c r="D97" s="339">
        <f t="shared" si="28"/>
        <v>6666.7200000000012</v>
      </c>
      <c r="E97" s="339">
        <f t="shared" si="28"/>
        <v>7111.1680000000024</v>
      </c>
      <c r="F97" s="339">
        <f t="shared" si="28"/>
        <v>7555.6160000000018</v>
      </c>
      <c r="G97" s="339">
        <f t="shared" si="28"/>
        <v>8000.064000000003</v>
      </c>
      <c r="H97" s="339">
        <f t="shared" si="28"/>
        <v>8444.5120000000043</v>
      </c>
    </row>
    <row r="98" spans="1:8">
      <c r="A98" s="77" t="s">
        <v>718</v>
      </c>
      <c r="B98" s="339">
        <f>B96*10%</f>
        <v>722.22800000000007</v>
      </c>
      <c r="C98" s="339">
        <f t="shared" ref="C98:H98" si="29">C96*10%</f>
        <v>777.78400000000011</v>
      </c>
      <c r="D98" s="339">
        <f t="shared" si="29"/>
        <v>833.34000000000015</v>
      </c>
      <c r="E98" s="339">
        <f t="shared" si="29"/>
        <v>888.8960000000003</v>
      </c>
      <c r="F98" s="339">
        <f t="shared" si="29"/>
        <v>944.45200000000023</v>
      </c>
      <c r="G98" s="339">
        <f t="shared" si="29"/>
        <v>1000.0080000000004</v>
      </c>
      <c r="H98" s="339">
        <f t="shared" si="29"/>
        <v>1055.5640000000005</v>
      </c>
    </row>
    <row r="99" spans="1:8">
      <c r="A99" s="77" t="str">
        <f>A49</f>
        <v>Jawar</v>
      </c>
      <c r="B99" s="78"/>
      <c r="C99" s="78"/>
      <c r="D99" s="78"/>
      <c r="E99" s="78"/>
      <c r="F99" s="78"/>
      <c r="G99" s="78"/>
      <c r="H99" s="78"/>
    </row>
    <row r="100" spans="1:8">
      <c r="A100" s="77"/>
      <c r="B100" s="78"/>
      <c r="C100" s="78"/>
      <c r="D100" s="78"/>
      <c r="E100" s="78"/>
      <c r="F100" s="78"/>
      <c r="G100" s="78"/>
      <c r="H100" s="78"/>
    </row>
    <row r="101" spans="1:8">
      <c r="A101" s="77"/>
      <c r="B101" s="78"/>
      <c r="C101" s="78"/>
      <c r="D101" s="78"/>
      <c r="E101" s="78"/>
      <c r="F101" s="78"/>
      <c r="G101" s="78"/>
      <c r="H101" s="78"/>
    </row>
    <row r="102" spans="1:8">
      <c r="A102" s="77" t="str">
        <f>A50</f>
        <v>Maize</v>
      </c>
      <c r="B102" s="78"/>
      <c r="C102" s="78"/>
      <c r="D102" s="78"/>
      <c r="E102" s="78"/>
      <c r="F102" s="78"/>
      <c r="G102" s="78"/>
      <c r="H102" s="78"/>
    </row>
    <row r="103" spans="1:8">
      <c r="A103" s="77"/>
      <c r="B103" s="78"/>
      <c r="C103" s="78"/>
      <c r="D103" s="78"/>
      <c r="E103" s="78"/>
      <c r="F103" s="78"/>
      <c r="G103" s="78"/>
      <c r="H103" s="78"/>
    </row>
    <row r="104" spans="1:8">
      <c r="A104" s="77"/>
      <c r="B104" s="78"/>
      <c r="C104" s="78"/>
      <c r="D104" s="78"/>
      <c r="E104" s="78"/>
      <c r="F104" s="78"/>
      <c r="G104" s="78"/>
      <c r="H104" s="78"/>
    </row>
    <row r="105" spans="1:8">
      <c r="A105" s="77" t="str">
        <f>A51</f>
        <v>Safflower</v>
      </c>
      <c r="B105" s="78"/>
      <c r="C105" s="78"/>
      <c r="D105" s="78"/>
      <c r="E105" s="78"/>
      <c r="F105" s="78"/>
      <c r="G105" s="78"/>
      <c r="H105" s="78"/>
    </row>
    <row r="106" spans="1:8">
      <c r="A106" s="77"/>
      <c r="B106" s="78"/>
      <c r="C106" s="78"/>
      <c r="D106" s="78"/>
      <c r="E106" s="78"/>
      <c r="F106" s="78"/>
      <c r="G106" s="78"/>
      <c r="H106" s="78"/>
    </row>
    <row r="107" spans="1:8">
      <c r="A107" s="77"/>
      <c r="B107" s="78"/>
      <c r="C107" s="78"/>
      <c r="D107" s="78"/>
      <c r="E107" s="78"/>
      <c r="F107" s="78"/>
      <c r="G107" s="78"/>
      <c r="H107" s="78"/>
    </row>
    <row r="108" spans="1:8">
      <c r="A108" s="77">
        <f>A52</f>
        <v>0</v>
      </c>
      <c r="B108" s="78"/>
      <c r="C108" s="78"/>
      <c r="D108" s="78"/>
      <c r="E108" s="78"/>
      <c r="F108" s="78"/>
      <c r="G108" s="78"/>
      <c r="H108" s="78"/>
    </row>
    <row r="109" spans="1:8">
      <c r="A109" s="77"/>
      <c r="B109" s="78"/>
      <c r="C109" s="78"/>
      <c r="D109" s="78"/>
      <c r="E109" s="78"/>
      <c r="F109" s="78"/>
      <c r="G109" s="78"/>
      <c r="H109" s="78"/>
    </row>
    <row r="110" spans="1:8">
      <c r="A110" s="77"/>
      <c r="B110" s="78"/>
      <c r="C110" s="78"/>
      <c r="D110" s="78"/>
      <c r="E110" s="78"/>
      <c r="F110" s="78"/>
      <c r="G110" s="78"/>
      <c r="H110" s="78"/>
    </row>
    <row r="111" spans="1:8">
      <c r="A111" s="77">
        <f>A53</f>
        <v>0</v>
      </c>
      <c r="B111" s="78"/>
      <c r="C111" s="78"/>
      <c r="D111" s="78"/>
      <c r="E111" s="78"/>
      <c r="F111" s="78"/>
      <c r="G111" s="78"/>
      <c r="H111" s="78"/>
    </row>
    <row r="112" spans="1:8">
      <c r="A112" s="77"/>
      <c r="B112" s="78"/>
      <c r="C112" s="78"/>
      <c r="D112" s="78"/>
      <c r="E112" s="78"/>
      <c r="F112" s="78"/>
      <c r="G112" s="78"/>
      <c r="H112" s="78"/>
    </row>
    <row r="113" spans="1:8">
      <c r="A113" s="77"/>
      <c r="B113" s="78"/>
      <c r="C113" s="78"/>
      <c r="D113" s="78"/>
      <c r="E113" s="78"/>
      <c r="F113" s="78"/>
      <c r="G113" s="78"/>
      <c r="H113" s="78"/>
    </row>
    <row r="114" spans="1:8">
      <c r="A114" s="77">
        <f>A54</f>
        <v>0</v>
      </c>
      <c r="B114" s="78"/>
      <c r="C114" s="78"/>
      <c r="D114" s="78"/>
      <c r="E114" s="78"/>
      <c r="F114" s="78"/>
      <c r="G114" s="78"/>
      <c r="H114" s="78"/>
    </row>
    <row r="115" spans="1:8">
      <c r="A115" s="77"/>
      <c r="B115" s="78"/>
      <c r="C115" s="78"/>
      <c r="D115" s="78"/>
      <c r="E115" s="78"/>
      <c r="F115" s="78"/>
      <c r="G115" s="78"/>
      <c r="H115" s="78"/>
    </row>
    <row r="116" spans="1:8">
      <c r="A116" s="77"/>
      <c r="B116" s="78"/>
      <c r="C116" s="78"/>
      <c r="D116" s="78"/>
      <c r="E116" s="78"/>
      <c r="F116" s="78"/>
      <c r="G116" s="78"/>
      <c r="H116" s="78"/>
    </row>
    <row r="117" spans="1:8">
      <c r="A117" s="77" t="str">
        <f>A55</f>
        <v>Groundnut</v>
      </c>
      <c r="B117" s="78"/>
      <c r="C117" s="78"/>
      <c r="D117" s="78"/>
      <c r="E117" s="78"/>
      <c r="F117" s="78"/>
      <c r="G117" s="78"/>
      <c r="H117" s="78"/>
    </row>
    <row r="118" spans="1:8">
      <c r="A118" s="77"/>
      <c r="B118" s="78"/>
      <c r="C118" s="78"/>
      <c r="D118" s="78"/>
      <c r="E118" s="78"/>
      <c r="F118" s="78"/>
      <c r="G118" s="78"/>
      <c r="H118" s="78"/>
    </row>
    <row r="119" spans="1:8">
      <c r="A119" s="77"/>
      <c r="B119" s="78"/>
      <c r="C119" s="78"/>
      <c r="D119" s="78"/>
      <c r="E119" s="78"/>
      <c r="F119" s="78"/>
      <c r="G119" s="78"/>
      <c r="H119" s="78"/>
    </row>
    <row r="120" spans="1:8">
      <c r="A120" s="77">
        <f>A56</f>
        <v>0</v>
      </c>
      <c r="B120" s="78"/>
      <c r="C120" s="78"/>
      <c r="D120" s="78"/>
      <c r="E120" s="78"/>
      <c r="F120" s="78"/>
      <c r="G120" s="78"/>
      <c r="H120" s="78"/>
    </row>
    <row r="121" spans="1:8">
      <c r="A121" s="77"/>
      <c r="B121" s="78"/>
      <c r="C121" s="78"/>
      <c r="D121" s="78"/>
      <c r="E121" s="78"/>
      <c r="F121" s="78"/>
      <c r="G121" s="78"/>
      <c r="H121" s="78"/>
    </row>
    <row r="122" spans="1:8">
      <c r="A122" s="77"/>
      <c r="B122" s="78"/>
      <c r="C122" s="78"/>
      <c r="D122" s="78"/>
      <c r="E122" s="78"/>
      <c r="F122" s="78"/>
      <c r="G122" s="78"/>
      <c r="H122" s="78"/>
    </row>
    <row r="123" spans="1:8">
      <c r="A123" s="77">
        <f>A57</f>
        <v>0</v>
      </c>
      <c r="B123" s="78"/>
      <c r="C123" s="78"/>
      <c r="D123" s="78"/>
      <c r="E123" s="78"/>
      <c r="F123" s="78"/>
      <c r="G123" s="78"/>
      <c r="H123" s="78"/>
    </row>
    <row r="124" spans="1:8">
      <c r="A124" s="76"/>
      <c r="B124" s="267"/>
      <c r="C124" s="267"/>
      <c r="D124" s="267"/>
      <c r="E124" s="267"/>
      <c r="F124" s="267"/>
      <c r="G124" s="267"/>
      <c r="H124" s="267"/>
    </row>
    <row r="125" spans="1:8">
      <c r="A125" s="76"/>
      <c r="B125" s="267"/>
      <c r="C125" s="267"/>
      <c r="D125" s="267"/>
      <c r="E125" s="267"/>
      <c r="F125" s="267"/>
      <c r="G125" s="267"/>
      <c r="H125" s="267"/>
    </row>
    <row r="126" spans="1:8">
      <c r="A126" s="76" t="s">
        <v>454</v>
      </c>
      <c r="B126">
        <v>50</v>
      </c>
    </row>
    <row r="133" spans="1:13" ht="18.75">
      <c r="A133" s="362" t="s">
        <v>708</v>
      </c>
      <c r="B133" s="362"/>
      <c r="C133" s="362"/>
      <c r="D133" s="362"/>
      <c r="E133" s="362"/>
      <c r="F133" s="362"/>
      <c r="G133" s="362"/>
      <c r="H133" s="362"/>
      <c r="I133" s="362"/>
      <c r="J133" s="362"/>
    </row>
    <row r="134" spans="1:13">
      <c r="A134" s="12"/>
      <c r="B134" s="12"/>
      <c r="C134" s="12"/>
      <c r="D134" s="12"/>
      <c r="E134" s="12"/>
      <c r="F134" s="12"/>
      <c r="G134" s="12"/>
      <c r="H134" s="12"/>
    </row>
    <row r="135" spans="1:13">
      <c r="A135" s="166"/>
      <c r="B135" s="166"/>
      <c r="C135" s="166"/>
      <c r="D135" s="167">
        <v>0.8</v>
      </c>
      <c r="E135" s="168">
        <f>(D135*5%)+D135</f>
        <v>0.84000000000000008</v>
      </c>
      <c r="F135" s="168">
        <f t="shared" ref="F135:J135" si="30">(E135*5%)+E135</f>
        <v>0.88200000000000012</v>
      </c>
      <c r="G135" s="168">
        <f t="shared" si="30"/>
        <v>0.92610000000000015</v>
      </c>
      <c r="H135" s="168">
        <f t="shared" si="30"/>
        <v>0.97240500000000019</v>
      </c>
      <c r="I135" s="168">
        <f t="shared" si="30"/>
        <v>1.0210252500000001</v>
      </c>
      <c r="J135" s="168">
        <f t="shared" si="30"/>
        <v>1.0720765125</v>
      </c>
    </row>
    <row r="136" spans="1:13">
      <c r="A136" s="76"/>
      <c r="B136" s="76"/>
      <c r="C136" s="76"/>
      <c r="D136" s="76"/>
      <c r="E136" s="76"/>
      <c r="F136" s="76"/>
      <c r="G136" s="76"/>
      <c r="H136" s="76"/>
      <c r="I136" s="76"/>
      <c r="J136" s="76"/>
    </row>
    <row r="137" spans="1:13">
      <c r="A137" s="128" t="s">
        <v>0</v>
      </c>
      <c r="B137" s="128" t="s">
        <v>133</v>
      </c>
      <c r="C137" s="128" t="s">
        <v>152</v>
      </c>
      <c r="D137" s="100" t="s">
        <v>2</v>
      </c>
      <c r="E137" s="100" t="s">
        <v>3</v>
      </c>
      <c r="F137" s="100" t="s">
        <v>4</v>
      </c>
      <c r="G137" s="100" t="s">
        <v>5</v>
      </c>
      <c r="H137" s="100" t="s">
        <v>6</v>
      </c>
      <c r="I137" s="100" t="s">
        <v>169</v>
      </c>
      <c r="J137" s="100" t="s">
        <v>168</v>
      </c>
    </row>
    <row r="138" spans="1:13">
      <c r="A138" s="77"/>
      <c r="B138" s="77"/>
      <c r="C138" s="77"/>
      <c r="D138" s="77"/>
      <c r="E138" s="77"/>
      <c r="F138" s="77"/>
      <c r="G138" s="77"/>
      <c r="H138" s="77"/>
      <c r="I138" s="77"/>
      <c r="J138" s="77"/>
    </row>
    <row r="139" spans="1:13">
      <c r="A139" s="79" t="s">
        <v>127</v>
      </c>
      <c r="B139" s="79"/>
      <c r="C139" s="79"/>
      <c r="D139" s="94"/>
      <c r="E139" s="94"/>
      <c r="F139" s="94"/>
      <c r="G139" s="94"/>
      <c r="H139" s="94"/>
      <c r="I139" s="77"/>
      <c r="J139" s="77"/>
    </row>
    <row r="140" spans="1:13">
      <c r="A140" s="79" t="s">
        <v>719</v>
      </c>
      <c r="B140" s="79"/>
      <c r="C140" s="79"/>
      <c r="D140" s="77"/>
      <c r="E140" s="77"/>
      <c r="F140" s="77"/>
      <c r="G140" s="77"/>
      <c r="H140" s="77"/>
      <c r="I140" s="77"/>
      <c r="J140" s="77"/>
    </row>
    <row r="141" spans="1:13">
      <c r="A141" s="77" t="s">
        <v>163</v>
      </c>
      <c r="B141" s="201" t="s">
        <v>363</v>
      </c>
      <c r="C141" s="201">
        <v>3500</v>
      </c>
      <c r="D141" s="78">
        <f>(((B97*100)*(1-'5.Closing Stock &amp; W Capital'!$D$17))/$B$126)*$C$141*D135</f>
        <v>30738023.680000003</v>
      </c>
      <c r="E141" s="78">
        <f>E135*((((C97*100)*(1-'5.Closing Stock &amp; W Capital'!$D$17))+((B97*100)*'5.Closing Stock &amp; W Capital'!$D$17))/$B$126)*$C$141</f>
        <v>36456291.648000009</v>
      </c>
      <c r="F141" s="78">
        <f>F135*((((D97*100)*(1-'5.Closing Stock &amp; W Capital'!$D$17))+((C97*100)*'5.Closing Stock &amp; W Capital'!$D$17))/$B$126)*$C$141</f>
        <v>41023128.182400003</v>
      </c>
      <c r="G141" s="78">
        <f>G135*((((E97*100)*(1-'5.Closing Stock &amp; W Capital'!$D$17))+((D97*100)*'5.Closing Stock &amp; W Capital'!$D$17))/$B$126)*$C$141</f>
        <v>45955507.641120017</v>
      </c>
      <c r="H141" s="78">
        <f>H135*((((F97*100)*(1-'5.Closing Stock &amp; W Capital'!$D$17))+((E97*100)*'5.Closing Stock &amp; W Capital'!$D$17))/$B$126)*$C$141</f>
        <v>51278567.225256018</v>
      </c>
      <c r="I141" s="78">
        <f>I135*((((G97*100)*(1-'5.Closing Stock &amp; W Capital'!$D$17))+((F97*100)*'5.Closing Stock &amp; W Capital'!$D$17))/$B$126)*$C$141</f>
        <v>57019043.998702817</v>
      </c>
      <c r="J141" s="78">
        <f>J135*((((H97*100)*(1-'5.Closing Stock &amp; W Capital'!$D$17))+((G97*100)*'5.Closing Stock &amp; W Capital'!$D$17))/$B$126)*$C$141</f>
        <v>63205372.031431176</v>
      </c>
    </row>
    <row r="142" spans="1:13">
      <c r="A142" s="77" t="s">
        <v>164</v>
      </c>
      <c r="B142" s="201" t="s">
        <v>363</v>
      </c>
      <c r="C142" s="201">
        <v>3800</v>
      </c>
      <c r="D142" s="78">
        <f>(((B64*100)*(1-'5.Closing Stock &amp; W Capital'!$D$17))/B126)*$C$142*D135</f>
        <v>17520673.4976</v>
      </c>
      <c r="E142" s="78">
        <f>((((C64*100)*(1-'5.Closing Stock &amp; W Capital'!$D$17))+((B64*100)*'5.Closing Stock &amp; W Capital'!$D$17))/$B$126)*$C$142*E135</f>
        <v>20780086.239360008</v>
      </c>
      <c r="F142" s="78">
        <f>((((D64*100)*(1-'5.Closing Stock &amp; W Capital'!$D$17))+((C64*100)*'5.Closing Stock &amp; W Capital'!$D$17))/$B$126)*$C$142*F135</f>
        <v>23383183.063968007</v>
      </c>
      <c r="G142" s="78">
        <f>((((E64*100)*(1-'5.Closing Stock &amp; W Capital'!$D$17))+((D64*100)*'5.Closing Stock &amp; W Capital'!$D$17))/$B$126)*$C$142*G135</f>
        <v>26194639.355438411</v>
      </c>
      <c r="H142" s="78">
        <f>((((F64*100)*(1-'5.Closing Stock &amp; W Capital'!$D$17))+((E64*100)*'5.Closing Stock &amp; W Capital'!$D$17))/$B$126)*$C$142*H135</f>
        <v>29228783.318395931</v>
      </c>
      <c r="I142" s="78">
        <f>((((G64*100)*(1-'5.Closing Stock &amp; W Capital'!$D$17))+((F64*100)*'5.Closing Stock &amp; W Capital'!$D$17))/$B$126)*$C$142*I135</f>
        <v>32500855.079260614</v>
      </c>
      <c r="J142" s="78">
        <f>((((H64*100)*(1-'5.Closing Stock &amp; W Capital'!$D$17))+((G64*100)*'5.Closing Stock &amp; W Capital'!$D$17))/$B$126)*$C$142*J135</f>
        <v>36027062.057915762</v>
      </c>
    </row>
    <row r="143" spans="1:13">
      <c r="A143" s="77" t="s">
        <v>318</v>
      </c>
      <c r="B143" s="201" t="s">
        <v>363</v>
      </c>
      <c r="C143" s="201">
        <v>3850</v>
      </c>
      <c r="D143" s="78">
        <f>(((B79*100)*(1-'5.Closing Stock &amp; W Capital'!D17))/$B$126)*$C$143*D135</f>
        <v>22422579.379200004</v>
      </c>
      <c r="E143" s="78">
        <f>((((C79*100)*(1-'5.Closing Stock &amp; W Capital'!$D$17))+((B79*100)*'5.Closing Stock &amp; W Capital'!$D$17))/$B$126)*$C$143*E135</f>
        <v>26593905.381120011</v>
      </c>
      <c r="F143" s="78">
        <f>((((D79*100)*(1-'5.Closing Stock &amp; W Capital'!$D$17))+((C79*100)*'5.Closing Stock &amp; W Capital'!$D$17))/$B$126)*$C$143*F135</f>
        <v>29925292.453056011</v>
      </c>
      <c r="G143" s="78">
        <f>((((E79*100)*(1-'5.Closing Stock &amp; W Capital'!$D$17))+((D79*100)*'5.Closing Stock &amp; W Capital'!$D$17))/$B$126)*$C$143*G135</f>
        <v>33523333.468732815</v>
      </c>
      <c r="H143" s="78">
        <f>((((F79*100)*(1-'5.Closing Stock &amp; W Capital'!$D$17))+((E79*100)*'5.Closing Stock &amp; W Capital'!$D$17))/$B$126)*$C$143*H135</f>
        <v>37406365.35484466</v>
      </c>
      <c r="I143" s="78">
        <f>((((G79*100)*(1-'5.Closing Stock &amp; W Capital'!$D$17))+((F79*100)*'5.Closing Stock &amp; W Capital'!$D$17))/$B$126)*$C$143*I135</f>
        <v>41593892.095895864</v>
      </c>
      <c r="J143" s="78">
        <f>((((H79*100)*(1-'5.Closing Stock &amp; W Capital'!$D$17))+((G79*100)*'5.Closing Stock &amp; W Capital'!$D$17))/$B$126)*$C$143*J135</f>
        <v>46106655.597665057</v>
      </c>
    </row>
    <row r="144" spans="1:13">
      <c r="A144" s="77" t="s">
        <v>317</v>
      </c>
      <c r="B144" s="201" t="s">
        <v>363</v>
      </c>
      <c r="C144" s="201">
        <v>4050</v>
      </c>
      <c r="D144" s="78">
        <f>(((B71*100)*(1-'5.Closing Stock &amp; W Capital'!D17))/B126)*$C$144*D135</f>
        <v>25684045.470720001</v>
      </c>
      <c r="E144" s="78">
        <f>((((C71*100)*(1-'5.Closing Stock &amp; W Capital'!$D$17))+((B71*100)*'5.Closing Stock &amp; W Capital'!$D$17))/$B$126)*$C$144*E135</f>
        <v>30462109.800192006</v>
      </c>
      <c r="F144" s="78">
        <f>((((D71*100)*(1-'5.Closing Stock &amp; W Capital'!$D$17))+((C71*100)*'5.Closing Stock &amp; W Capital'!$D$17))/$B$126)*$C$144*F135</f>
        <v>34278062.264409609</v>
      </c>
      <c r="G144" s="78">
        <f>((((E71*100)*(1-'5.Closing Stock &amp; W Capital'!$D$17))+((D71*100)*'5.Closing Stock &amp; W Capital'!$D$17))/$B$126)*$C$144*G135</f>
        <v>38399454.700548492</v>
      </c>
      <c r="H144" s="78">
        <f>((((F71*100)*(1-'5.Closing Stock &amp; W Capital'!$D$17))+((E71*100)*'5.Closing Stock &amp; W Capital'!$D$17))/$B$126)*$C$144*H135</f>
        <v>42847291.22464025</v>
      </c>
      <c r="I144" s="78">
        <f>((((G71*100)*(1-'5.Closing Stock &amp; W Capital'!$D$17))+((F71*100)*'5.Closing Stock &amp; W Capital'!$D$17))/$B$126)*$C$144*I135</f>
        <v>47643912.764389798</v>
      </c>
      <c r="J144" s="78">
        <f>((((H71*100)*(1-'5.Closing Stock &amp; W Capital'!$D$17))+((G71*100)*'5.Closing Stock &amp; W Capital'!$D$17))/$B$126)*$C$144*J135</f>
        <v>52813078.230052687</v>
      </c>
      <c r="M144">
        <f>3750*2</f>
        <v>7500</v>
      </c>
    </row>
    <row r="145" spans="1:11" hidden="1">
      <c r="A145" s="79" t="s">
        <v>703</v>
      </c>
      <c r="B145" s="201"/>
      <c r="C145" s="201"/>
      <c r="D145" s="78"/>
      <c r="E145" s="78"/>
      <c r="F145" s="78"/>
      <c r="G145" s="78"/>
      <c r="H145" s="78"/>
      <c r="I145" s="78"/>
      <c r="J145" s="78"/>
    </row>
    <row r="146" spans="1:11" hidden="1">
      <c r="A146" s="77" t="s">
        <v>700</v>
      </c>
      <c r="B146" s="201" t="s">
        <v>701</v>
      </c>
      <c r="C146" s="201">
        <v>3000</v>
      </c>
      <c r="D146" s="78">
        <f t="shared" ref="D146:K146" si="31">B93*3000</f>
        <v>0</v>
      </c>
      <c r="E146" s="78">
        <f t="shared" si="31"/>
        <v>0</v>
      </c>
      <c r="F146" s="78">
        <f t="shared" si="31"/>
        <v>0</v>
      </c>
      <c r="G146" s="78">
        <f t="shared" si="31"/>
        <v>0</v>
      </c>
      <c r="H146" s="78">
        <f t="shared" si="31"/>
        <v>0</v>
      </c>
      <c r="I146" s="78">
        <f t="shared" si="31"/>
        <v>0</v>
      </c>
      <c r="J146" s="78">
        <f t="shared" si="31"/>
        <v>0</v>
      </c>
      <c r="K146" s="78">
        <f t="shared" si="31"/>
        <v>0</v>
      </c>
    </row>
    <row r="147" spans="1:11" hidden="1">
      <c r="A147" s="77" t="s">
        <v>704</v>
      </c>
      <c r="B147" s="201" t="s">
        <v>701</v>
      </c>
      <c r="C147" s="201">
        <v>2200</v>
      </c>
      <c r="D147" s="78">
        <f>B74*2200</f>
        <v>0</v>
      </c>
      <c r="E147" s="78">
        <f t="shared" ref="E147:J147" si="32">C74*2200</f>
        <v>0</v>
      </c>
      <c r="F147" s="78">
        <f t="shared" si="32"/>
        <v>0</v>
      </c>
      <c r="G147" s="78">
        <f t="shared" si="32"/>
        <v>0</v>
      </c>
      <c r="H147" s="78">
        <f t="shared" si="32"/>
        <v>0</v>
      </c>
      <c r="I147" s="78">
        <f t="shared" si="32"/>
        <v>0</v>
      </c>
      <c r="J147" s="78">
        <f t="shared" si="32"/>
        <v>0</v>
      </c>
      <c r="K147" s="267"/>
    </row>
    <row r="148" spans="1:11">
      <c r="A148" s="77"/>
      <c r="B148" s="201"/>
      <c r="C148" s="201"/>
      <c r="D148" s="78"/>
      <c r="E148" s="78"/>
      <c r="F148" s="78"/>
      <c r="G148" s="78"/>
      <c r="H148" s="78"/>
      <c r="I148" s="78"/>
      <c r="J148" s="78"/>
      <c r="K148" s="267"/>
    </row>
    <row r="149" spans="1:11">
      <c r="A149" s="77"/>
      <c r="B149" s="77"/>
      <c r="C149" s="77"/>
      <c r="D149" s="78"/>
      <c r="E149" s="78"/>
      <c r="F149" s="78"/>
      <c r="G149" s="78"/>
      <c r="H149" s="78"/>
      <c r="I149" s="78"/>
      <c r="J149" s="78"/>
    </row>
    <row r="150" spans="1:11">
      <c r="A150" s="79" t="s">
        <v>142</v>
      </c>
      <c r="B150" s="206"/>
      <c r="C150" s="206">
        <v>10</v>
      </c>
      <c r="D150" s="78">
        <f>((B65+B98+B80+B72)*100)*$C$150*D135</f>
        <v>1681498.8320000002</v>
      </c>
      <c r="E150" s="78">
        <f t="shared" ref="E150:J150" si="33">((C65+C98+C80+C72)*100)*$C$150*E135</f>
        <v>1901387.1408000002</v>
      </c>
      <c r="F150" s="78">
        <f t="shared" si="33"/>
        <v>2139060.5334000005</v>
      </c>
      <c r="G150" s="78">
        <f t="shared" si="33"/>
        <v>2395747.797408001</v>
      </c>
      <c r="H150" s="78">
        <f t="shared" si="33"/>
        <v>2672756.1364833019</v>
      </c>
      <c r="I150" s="78">
        <f t="shared" si="33"/>
        <v>2971475.9399726116</v>
      </c>
      <c r="J150" s="78">
        <f t="shared" si="33"/>
        <v>3293385.8334696442</v>
      </c>
    </row>
    <row r="151" spans="1:11">
      <c r="A151" s="77"/>
      <c r="B151" s="201"/>
      <c r="C151" s="201"/>
      <c r="D151" s="78"/>
      <c r="E151" s="78"/>
      <c r="F151" s="78"/>
      <c r="G151" s="78"/>
      <c r="H151" s="78"/>
      <c r="I151" s="78"/>
      <c r="J151" s="78"/>
      <c r="K151" s="50">
        <f>[2]Output!T58*70*K135</f>
        <v>0</v>
      </c>
    </row>
    <row r="152" spans="1:11">
      <c r="A152" s="79" t="s">
        <v>294</v>
      </c>
      <c r="B152" s="206" t="s">
        <v>364</v>
      </c>
      <c r="C152" s="201">
        <v>5</v>
      </c>
      <c r="D152" s="78">
        <f t="shared" ref="D152:J152" si="34">(B35*100)*$C$152*D135</f>
        <v>2101873.54</v>
      </c>
      <c r="E152" s="78">
        <f t="shared" si="34"/>
        <v>2376733.9260000009</v>
      </c>
      <c r="F152" s="78">
        <f t="shared" si="34"/>
        <v>2673825.6667500013</v>
      </c>
      <c r="G152" s="78">
        <f t="shared" si="34"/>
        <v>2994684.7467600014</v>
      </c>
      <c r="H152" s="78">
        <f t="shared" si="34"/>
        <v>3340945.1706041265</v>
      </c>
      <c r="I152" s="78">
        <f t="shared" si="34"/>
        <v>3714344.9249657639</v>
      </c>
      <c r="J152" s="78">
        <f t="shared" si="34"/>
        <v>4116732.2918370552</v>
      </c>
    </row>
    <row r="153" spans="1:11">
      <c r="A153" s="77"/>
      <c r="B153" s="77"/>
      <c r="C153" s="77"/>
      <c r="D153" s="78"/>
      <c r="E153" s="78"/>
      <c r="F153" s="78"/>
      <c r="G153" s="78"/>
      <c r="H153" s="78"/>
      <c r="I153" s="78"/>
      <c r="J153" s="78"/>
    </row>
    <row r="154" spans="1:11">
      <c r="A154" s="79" t="s">
        <v>127</v>
      </c>
      <c r="B154" s="79"/>
      <c r="C154" s="79"/>
      <c r="D154" s="95">
        <f>SUM(D141:D152)</f>
        <v>100148694.39952001</v>
      </c>
      <c r="E154" s="95">
        <f t="shared" ref="E154:J154" si="35">SUM(E141:E152)</f>
        <v>118570514.13547203</v>
      </c>
      <c r="F154" s="95">
        <f t="shared" si="35"/>
        <v>133422552.16398363</v>
      </c>
      <c r="G154" s="95">
        <f t="shared" si="35"/>
        <v>149463367.71000776</v>
      </c>
      <c r="H154" s="95">
        <f t="shared" si="35"/>
        <v>166774708.43022433</v>
      </c>
      <c r="I154" s="95">
        <f t="shared" si="35"/>
        <v>185443524.80318749</v>
      </c>
      <c r="J154" s="95">
        <f t="shared" si="35"/>
        <v>205562286.04237142</v>
      </c>
    </row>
    <row r="155" spans="1:11">
      <c r="A155" s="77"/>
      <c r="B155" s="77"/>
      <c r="C155" s="77"/>
      <c r="D155" s="78"/>
      <c r="E155" s="78"/>
      <c r="F155" s="78"/>
      <c r="G155" s="78"/>
      <c r="H155" s="78"/>
      <c r="I155" s="78"/>
      <c r="J155" s="78"/>
    </row>
    <row r="156" spans="1:11">
      <c r="A156" s="79" t="s">
        <v>143</v>
      </c>
      <c r="B156" s="79"/>
      <c r="C156" s="79"/>
      <c r="D156" s="78"/>
      <c r="E156" s="78"/>
      <c r="F156" s="78"/>
      <c r="G156" s="78"/>
      <c r="H156" s="78"/>
      <c r="I156" s="78"/>
      <c r="J156" s="78"/>
    </row>
    <row r="157" spans="1:11">
      <c r="A157" s="79" t="s">
        <v>312</v>
      </c>
      <c r="B157" s="79"/>
      <c r="C157" s="77"/>
      <c r="D157" s="78"/>
      <c r="E157" s="78"/>
      <c r="F157" s="78"/>
      <c r="G157" s="78"/>
      <c r="H157" s="78"/>
      <c r="I157" s="78"/>
      <c r="J157" s="78"/>
    </row>
    <row r="158" spans="1:11">
      <c r="A158" s="77" t="s">
        <v>163</v>
      </c>
      <c r="B158" s="201" t="s">
        <v>365</v>
      </c>
      <c r="C158" s="225">
        <v>5000</v>
      </c>
      <c r="D158" s="78">
        <f t="shared" ref="D158:J158" si="36">(B47)*$C$158*D135</f>
        <v>28889120</v>
      </c>
      <c r="E158" s="78">
        <f t="shared" si="36"/>
        <v>32666928.000000011</v>
      </c>
      <c r="F158" s="78">
        <f t="shared" si="36"/>
        <v>36750294.000000015</v>
      </c>
      <c r="G158" s="78">
        <f t="shared" si="36"/>
        <v>41160329.280000024</v>
      </c>
      <c r="H158" s="78">
        <f t="shared" si="36"/>
        <v>45919492.353000022</v>
      </c>
      <c r="I158" s="78">
        <f t="shared" si="36"/>
        <v>51051670.91010002</v>
      </c>
      <c r="J158" s="78">
        <f t="shared" si="36"/>
        <v>56582268.592027523</v>
      </c>
    </row>
    <row r="159" spans="1:11">
      <c r="A159" s="77" t="s">
        <v>319</v>
      </c>
      <c r="B159" s="201" t="s">
        <v>365</v>
      </c>
      <c r="C159" s="225">
        <v>5600</v>
      </c>
      <c r="D159" s="78">
        <f t="shared" ref="D159:J159" si="37">(B38)*$C$159*D135</f>
        <v>16986802.559999999</v>
      </c>
      <c r="E159" s="78">
        <f t="shared" si="37"/>
        <v>19208153.664000005</v>
      </c>
      <c r="F159" s="78">
        <f t="shared" si="37"/>
        <v>21609172.872000005</v>
      </c>
      <c r="G159" s="78">
        <f t="shared" si="37"/>
        <v>24202273.616640005</v>
      </c>
      <c r="H159" s="78">
        <f t="shared" si="37"/>
        <v>27000661.503564011</v>
      </c>
      <c r="I159" s="78">
        <f t="shared" si="37"/>
        <v>30018382.495138809</v>
      </c>
      <c r="J159" s="78">
        <f t="shared" si="37"/>
        <v>33270373.932112183</v>
      </c>
    </row>
    <row r="160" spans="1:11">
      <c r="A160" s="77" t="s">
        <v>320</v>
      </c>
      <c r="B160" s="201" t="s">
        <v>365</v>
      </c>
      <c r="C160" s="225">
        <v>5700</v>
      </c>
      <c r="D160" s="78">
        <f t="shared" ref="D160:J160" si="38">(B42)*$C$160*D135</f>
        <v>21840174.720000003</v>
      </c>
      <c r="E160" s="78">
        <f t="shared" si="38"/>
        <v>24696197.568000011</v>
      </c>
      <c r="F160" s="78">
        <f t="shared" si="38"/>
        <v>27783222.26400001</v>
      </c>
      <c r="G160" s="78">
        <f t="shared" si="38"/>
        <v>31117208.935680017</v>
      </c>
      <c r="H160" s="78">
        <f t="shared" si="38"/>
        <v>34715136.218868025</v>
      </c>
      <c r="I160" s="78">
        <f t="shared" si="38"/>
        <v>38595063.208035618</v>
      </c>
      <c r="J160" s="78">
        <f t="shared" si="38"/>
        <v>42776195.055572808</v>
      </c>
    </row>
    <row r="161" spans="1:10">
      <c r="A161" s="77" t="s">
        <v>317</v>
      </c>
      <c r="B161" s="201" t="s">
        <v>365</v>
      </c>
      <c r="C161" s="225">
        <v>6000</v>
      </c>
      <c r="D161" s="78">
        <f t="shared" ref="D161:J161" si="39">(B40)*$C$161*D135</f>
        <v>25033182.719999999</v>
      </c>
      <c r="E161" s="78">
        <f t="shared" si="39"/>
        <v>28306752.768000007</v>
      </c>
      <c r="F161" s="78">
        <f t="shared" si="39"/>
        <v>31845096.864000004</v>
      </c>
      <c r="G161" s="78">
        <f t="shared" si="39"/>
        <v>35666508.48768001</v>
      </c>
      <c r="H161" s="78">
        <f t="shared" si="39"/>
        <v>39790448.531568013</v>
      </c>
      <c r="I161" s="78">
        <f t="shared" si="39"/>
        <v>44237616.308625616</v>
      </c>
      <c r="J161" s="78">
        <f t="shared" si="39"/>
        <v>49030024.742060058</v>
      </c>
    </row>
    <row r="162" spans="1:10" hidden="1">
      <c r="A162" s="77" t="s">
        <v>407</v>
      </c>
      <c r="B162" s="201" t="s">
        <v>365</v>
      </c>
      <c r="C162" s="225">
        <v>2200</v>
      </c>
      <c r="D162" s="78">
        <f>B27*2500</f>
        <v>0</v>
      </c>
      <c r="E162" s="78">
        <f t="shared" ref="E162:J162" si="40">C27*2500</f>
        <v>0</v>
      </c>
      <c r="F162" s="78">
        <f t="shared" si="40"/>
        <v>0</v>
      </c>
      <c r="G162" s="78">
        <f t="shared" si="40"/>
        <v>0</v>
      </c>
      <c r="H162" s="78">
        <f t="shared" si="40"/>
        <v>0</v>
      </c>
      <c r="I162" s="78">
        <f t="shared" si="40"/>
        <v>0</v>
      </c>
      <c r="J162" s="78">
        <f t="shared" si="40"/>
        <v>0</v>
      </c>
    </row>
    <row r="163" spans="1:10" hidden="1">
      <c r="A163" s="77" t="s">
        <v>405</v>
      </c>
      <c r="B163" s="201" t="s">
        <v>365</v>
      </c>
      <c r="C163" s="225">
        <v>1800</v>
      </c>
      <c r="D163" s="78">
        <f>1800*B73</f>
        <v>0</v>
      </c>
      <c r="E163" s="78">
        <f t="shared" ref="E163:J163" si="41">1800*C73</f>
        <v>0</v>
      </c>
      <c r="F163" s="78">
        <f t="shared" si="41"/>
        <v>0</v>
      </c>
      <c r="G163" s="78">
        <f t="shared" si="41"/>
        <v>0</v>
      </c>
      <c r="H163" s="78">
        <f t="shared" si="41"/>
        <v>0</v>
      </c>
      <c r="I163" s="78">
        <f t="shared" si="41"/>
        <v>0</v>
      </c>
      <c r="J163" s="78">
        <f t="shared" si="41"/>
        <v>0</v>
      </c>
    </row>
    <row r="164" spans="1:10">
      <c r="A164" s="77" t="s">
        <v>366</v>
      </c>
      <c r="B164" s="201">
        <v>2</v>
      </c>
      <c r="C164" s="201">
        <v>100</v>
      </c>
      <c r="D164" s="78">
        <f t="shared" ref="D164:J164" si="42">(B32/10)*$B$164*$C$164*D135</f>
        <v>420374.70799999993</v>
      </c>
      <c r="E164" s="78">
        <f t="shared" si="42"/>
        <v>475346.78520000016</v>
      </c>
      <c r="F164" s="78">
        <f t="shared" si="42"/>
        <v>534765.13335000025</v>
      </c>
      <c r="G164" s="78">
        <f t="shared" si="42"/>
        <v>598936.94935200026</v>
      </c>
      <c r="H164" s="78">
        <f t="shared" si="42"/>
        <v>668189.03412082535</v>
      </c>
      <c r="I164" s="78">
        <f t="shared" si="42"/>
        <v>742868.98499315279</v>
      </c>
      <c r="J164" s="78">
        <f t="shared" si="42"/>
        <v>823346.45836741105</v>
      </c>
    </row>
    <row r="165" spans="1:10">
      <c r="A165" s="77" t="s">
        <v>321</v>
      </c>
      <c r="B165" s="201">
        <v>5</v>
      </c>
      <c r="C165" s="201">
        <v>400</v>
      </c>
      <c r="D165" s="78">
        <f t="shared" ref="D165:J165" si="43">B12*$B$165*$C$165*D135</f>
        <v>525468.38500000001</v>
      </c>
      <c r="E165" s="78">
        <f t="shared" si="43"/>
        <v>594183.48150000011</v>
      </c>
      <c r="F165" s="78">
        <f t="shared" si="43"/>
        <v>668456.4166875002</v>
      </c>
      <c r="G165" s="78">
        <f t="shared" si="43"/>
        <v>748671.18669000035</v>
      </c>
      <c r="H165" s="78">
        <f t="shared" si="43"/>
        <v>835236.29265103152</v>
      </c>
      <c r="I165" s="78">
        <f t="shared" si="43"/>
        <v>928586.23124144098</v>
      </c>
      <c r="J165" s="78">
        <f t="shared" si="43"/>
        <v>1029183.0729592637</v>
      </c>
    </row>
    <row r="166" spans="1:10">
      <c r="A166" s="77" t="s">
        <v>145</v>
      </c>
      <c r="B166" s="77">
        <v>750</v>
      </c>
      <c r="C166" s="201">
        <v>8</v>
      </c>
      <c r="D166" s="78">
        <f t="shared" ref="D166:J166" si="44">$B$166*$C$166*B12*D135</f>
        <v>1576405.155</v>
      </c>
      <c r="E166" s="78">
        <f t="shared" si="44"/>
        <v>1782550.4445000004</v>
      </c>
      <c r="F166" s="78">
        <f t="shared" si="44"/>
        <v>2005369.2500625006</v>
      </c>
      <c r="G166" s="78">
        <f t="shared" si="44"/>
        <v>2246013.5600700011</v>
      </c>
      <c r="H166" s="78">
        <f t="shared" si="44"/>
        <v>2505708.8779530949</v>
      </c>
      <c r="I166" s="78">
        <f t="shared" si="44"/>
        <v>2785758.6937243231</v>
      </c>
      <c r="J166" s="78">
        <f t="shared" si="44"/>
        <v>3087549.2188777914</v>
      </c>
    </row>
    <row r="167" spans="1:10">
      <c r="A167" s="77" t="s">
        <v>295</v>
      </c>
      <c r="B167" s="77"/>
      <c r="C167" s="201">
        <v>10</v>
      </c>
      <c r="D167" s="78">
        <f t="shared" ref="D167:J167" si="45">((B35*100)/50)*$C$167*D135</f>
        <v>84074.94160000002</v>
      </c>
      <c r="E167" s="78">
        <f t="shared" si="45"/>
        <v>95069.357040000046</v>
      </c>
      <c r="F167" s="78">
        <f t="shared" si="45"/>
        <v>106953.02667000004</v>
      </c>
      <c r="G167" s="78">
        <f t="shared" si="45"/>
        <v>119787.38987040006</v>
      </c>
      <c r="H167" s="78">
        <f t="shared" si="45"/>
        <v>133637.80682416505</v>
      </c>
      <c r="I167" s="78">
        <f t="shared" si="45"/>
        <v>148573.79699863057</v>
      </c>
      <c r="J167" s="78">
        <f t="shared" si="45"/>
        <v>164669.29167348222</v>
      </c>
    </row>
    <row r="168" spans="1:10">
      <c r="A168" s="89" t="s">
        <v>296</v>
      </c>
      <c r="B168" s="89"/>
      <c r="C168" s="227">
        <v>20</v>
      </c>
      <c r="D168" s="78">
        <f t="shared" ref="D168:J168" si="46">(((B79+B70+B97+B64)*100)/50)*$C$168*D135</f>
        <v>571457.20319999999</v>
      </c>
      <c r="E168" s="78">
        <f t="shared" si="46"/>
        <v>646186.22208000021</v>
      </c>
      <c r="F168" s="78">
        <f t="shared" si="46"/>
        <v>726959.49984000018</v>
      </c>
      <c r="G168" s="78">
        <f t="shared" si="46"/>
        <v>814194.6398208004</v>
      </c>
      <c r="H168" s="78">
        <f t="shared" si="46"/>
        <v>908335.89505008038</v>
      </c>
      <c r="I168" s="78">
        <f t="shared" si="46"/>
        <v>1009855.7892027365</v>
      </c>
      <c r="J168" s="78">
        <f t="shared" si="46"/>
        <v>1119256.8330330329</v>
      </c>
    </row>
    <row r="169" spans="1:10">
      <c r="A169" s="77" t="s">
        <v>297</v>
      </c>
      <c r="B169" s="77"/>
      <c r="C169" s="201">
        <v>30</v>
      </c>
      <c r="D169" s="78">
        <f t="shared" ref="D169:J169" si="47">(((B79+B70+B97+B64)*100)/50)*$C$169*D135</f>
        <v>857185.80480000004</v>
      </c>
      <c r="E169" s="78">
        <f t="shared" si="47"/>
        <v>969279.33312000043</v>
      </c>
      <c r="F169" s="78">
        <f t="shared" si="47"/>
        <v>1090439.2497600003</v>
      </c>
      <c r="G169" s="78">
        <f t="shared" si="47"/>
        <v>1221291.9597312007</v>
      </c>
      <c r="H169" s="78">
        <f t="shared" si="47"/>
        <v>1362503.8425751207</v>
      </c>
      <c r="I169" s="78">
        <f t="shared" si="47"/>
        <v>1514783.6838041048</v>
      </c>
      <c r="J169" s="78">
        <f t="shared" si="47"/>
        <v>1678885.2495495493</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9" t="s">
        <v>344</v>
      </c>
      <c r="B174" s="78"/>
      <c r="C174" s="78"/>
      <c r="D174" s="78"/>
      <c r="E174" s="78">
        <f>'5.Closing Stock &amp; W Capital'!F8</f>
        <v>4796353.0196400005</v>
      </c>
      <c r="F174" s="78">
        <f>'5.Closing Stock &amp; W Capital'!G8</f>
        <v>5423568.4145160019</v>
      </c>
      <c r="G174" s="78">
        <f>'5.Closing Stock &amp; W Capital'!H8</f>
        <v>6101514.4663305022</v>
      </c>
      <c r="H174" s="78">
        <f>'5.Closing Stock &amp; W Capital'!I8</f>
        <v>6833696.2022901643</v>
      </c>
      <c r="I174" s="78">
        <f>'5.Closing Stock &amp; W Capital'!J8</f>
        <v>7623842.3256799644</v>
      </c>
      <c r="J174" s="78">
        <f>'5.Closing Stock &amp; W Capital'!K8</f>
        <v>8475918.8209030181</v>
      </c>
    </row>
    <row r="175" spans="1:10">
      <c r="A175" s="169" t="s">
        <v>345</v>
      </c>
      <c r="B175" s="78"/>
      <c r="C175" s="78"/>
      <c r="D175" s="78">
        <f>'5.Closing Stock &amp; W Capital'!E17</f>
        <v>4796353.0196400005</v>
      </c>
      <c r="E175" s="78">
        <f>'5.Closing Stock &amp; W Capital'!F17</f>
        <v>5423568.4145160019</v>
      </c>
      <c r="F175" s="78">
        <f>'5.Closing Stock &amp; W Capital'!G17</f>
        <v>6101514.4663305022</v>
      </c>
      <c r="G175" s="78">
        <f>'5.Closing Stock &amp; W Capital'!H17</f>
        <v>6833696.2022901643</v>
      </c>
      <c r="H175" s="78">
        <f>'5.Closing Stock &amp; W Capital'!I17</f>
        <v>7623842.3256799644</v>
      </c>
      <c r="I175" s="78">
        <f>'5.Closing Stock &amp; W Capital'!J17</f>
        <v>8475918.8209030181</v>
      </c>
      <c r="J175" s="78">
        <f>'5.Closing Stock &amp; W Capital'!K17</f>
        <v>9394143.3598341774</v>
      </c>
    </row>
    <row r="176" spans="1:10">
      <c r="A176" s="78"/>
      <c r="B176" s="78"/>
      <c r="C176" s="78"/>
      <c r="D176" s="78"/>
      <c r="E176" s="78"/>
      <c r="F176" s="78"/>
      <c r="G176" s="78"/>
      <c r="H176" s="78"/>
      <c r="I176" s="78"/>
      <c r="J176" s="78"/>
    </row>
    <row r="177" spans="1:10">
      <c r="A177" s="95" t="s">
        <v>322</v>
      </c>
      <c r="B177" s="78"/>
      <c r="C177" s="78"/>
      <c r="D177" s="95">
        <f>SUM(D158:D174)-D175</f>
        <v>91987893.177960008</v>
      </c>
      <c r="E177" s="95">
        <f>SUM(E158:E174)-E175</f>
        <v>108813432.22856404</v>
      </c>
      <c r="F177" s="95">
        <f t="shared" ref="F177:J177" si="48">SUM(F158:F174)-F175</f>
        <v>122442782.52455555</v>
      </c>
      <c r="G177" s="95">
        <f t="shared" si="48"/>
        <v>137163034.26957479</v>
      </c>
      <c r="H177" s="95">
        <f t="shared" si="48"/>
        <v>153049204.23278463</v>
      </c>
      <c r="I177" s="95">
        <f t="shared" si="48"/>
        <v>170181083.60664141</v>
      </c>
      <c r="J177" s="95">
        <f t="shared" si="48"/>
        <v>188643527.90730193</v>
      </c>
    </row>
    <row r="178" spans="1:10">
      <c r="A178" s="76"/>
      <c r="B178" s="76"/>
      <c r="C178" s="76"/>
      <c r="D178" s="76"/>
      <c r="E178" s="76"/>
      <c r="F178" s="76"/>
      <c r="G178" s="76"/>
      <c r="H178" s="76"/>
      <c r="I178" s="76"/>
      <c r="J178" s="76"/>
    </row>
    <row r="179" spans="1:10">
      <c r="A179" s="170" t="s">
        <v>310</v>
      </c>
      <c r="B179" s="170"/>
      <c r="C179" s="170"/>
      <c r="D179" s="95"/>
      <c r="E179" s="95"/>
      <c r="F179" s="95"/>
      <c r="G179" s="95"/>
      <c r="H179" s="95"/>
      <c r="I179" s="95"/>
      <c r="J179" s="95"/>
    </row>
    <row r="180" spans="1:10">
      <c r="A180" s="77" t="s">
        <v>188</v>
      </c>
      <c r="B180" s="201">
        <v>2</v>
      </c>
      <c r="C180" s="225">
        <v>15000</v>
      </c>
      <c r="D180" s="78">
        <f t="shared" ref="D180:J180" si="49">$B$180*$C$180*12*D135</f>
        <v>288000</v>
      </c>
      <c r="E180" s="78">
        <f t="shared" si="49"/>
        <v>302400</v>
      </c>
      <c r="F180" s="78">
        <f t="shared" si="49"/>
        <v>317520.00000000006</v>
      </c>
      <c r="G180" s="78">
        <f t="shared" si="49"/>
        <v>333396.00000000006</v>
      </c>
      <c r="H180" s="78">
        <f t="shared" si="49"/>
        <v>350065.80000000005</v>
      </c>
      <c r="I180" s="78">
        <f t="shared" si="49"/>
        <v>367569.09</v>
      </c>
      <c r="J180" s="78">
        <f t="shared" si="49"/>
        <v>385947.54450000002</v>
      </c>
    </row>
    <row r="181" spans="1:10">
      <c r="A181" s="77"/>
      <c r="B181" s="201"/>
      <c r="C181" s="225"/>
      <c r="D181" s="78"/>
      <c r="E181" s="78"/>
      <c r="F181" s="78"/>
      <c r="G181" s="78"/>
      <c r="H181" s="78"/>
      <c r="I181" s="78"/>
      <c r="J181" s="78"/>
    </row>
    <row r="182" spans="1:10">
      <c r="A182" s="77"/>
      <c r="B182" s="201"/>
      <c r="C182" s="225"/>
      <c r="D182" s="78"/>
      <c r="E182" s="78"/>
      <c r="F182" s="78"/>
      <c r="G182" s="78"/>
      <c r="H182" s="78"/>
      <c r="I182" s="78"/>
      <c r="J182" s="78"/>
    </row>
    <row r="183" spans="1:10">
      <c r="A183" s="77"/>
      <c r="B183" s="201"/>
      <c r="C183" s="225"/>
      <c r="D183" s="78"/>
      <c r="E183" s="78"/>
      <c r="F183" s="78"/>
      <c r="G183" s="78"/>
      <c r="H183" s="78"/>
      <c r="I183" s="78"/>
      <c r="J183" s="78"/>
    </row>
    <row r="184" spans="1:10">
      <c r="A184" s="77"/>
      <c r="B184" s="201"/>
      <c r="C184" s="225"/>
      <c r="D184" s="78"/>
      <c r="E184" s="78"/>
      <c r="F184" s="78"/>
      <c r="G184" s="78"/>
      <c r="H184" s="78"/>
      <c r="I184" s="78"/>
      <c r="J184" s="78"/>
    </row>
    <row r="185" spans="1:10">
      <c r="A185" s="79" t="s">
        <v>310</v>
      </c>
      <c r="B185" s="79"/>
      <c r="C185" s="79"/>
      <c r="D185" s="95">
        <f t="shared" ref="D185:J185" si="50">SUM(D180:D184)</f>
        <v>288000</v>
      </c>
      <c r="E185" s="95">
        <f t="shared" si="50"/>
        <v>302400</v>
      </c>
      <c r="F185" s="95">
        <f t="shared" si="50"/>
        <v>317520.00000000006</v>
      </c>
      <c r="G185" s="95">
        <f t="shared" si="50"/>
        <v>333396.00000000006</v>
      </c>
      <c r="H185" s="95">
        <f t="shared" si="50"/>
        <v>350065.80000000005</v>
      </c>
      <c r="I185" s="95">
        <f t="shared" si="50"/>
        <v>367569.09</v>
      </c>
      <c r="J185" s="95">
        <f t="shared" si="50"/>
        <v>385947.54450000002</v>
      </c>
    </row>
    <row r="186" spans="1:10">
      <c r="A186" s="170" t="s">
        <v>298</v>
      </c>
      <c r="B186" s="170"/>
      <c r="C186" s="170"/>
      <c r="D186" s="95">
        <f t="shared" ref="D186:J186" si="51">D177+D185</f>
        <v>92275893.177960008</v>
      </c>
      <c r="E186" s="95">
        <f t="shared" si="51"/>
        <v>109115832.22856404</v>
      </c>
      <c r="F186" s="95">
        <f t="shared" si="51"/>
        <v>122760302.52455555</v>
      </c>
      <c r="G186" s="95">
        <f t="shared" si="51"/>
        <v>137496430.26957479</v>
      </c>
      <c r="H186" s="95">
        <f t="shared" si="51"/>
        <v>153399270.03278464</v>
      </c>
      <c r="I186" s="95">
        <f t="shared" si="51"/>
        <v>170548652.69664142</v>
      </c>
      <c r="J186" s="95">
        <f t="shared" si="51"/>
        <v>189029475.45180193</v>
      </c>
    </row>
    <row r="187" spans="1:10">
      <c r="A187" s="77"/>
      <c r="B187" s="77"/>
      <c r="C187" s="77"/>
      <c r="D187" s="78"/>
      <c r="E187" s="78"/>
      <c r="F187" s="78"/>
      <c r="G187" s="78"/>
      <c r="H187" s="78"/>
      <c r="I187" s="78"/>
      <c r="J187" s="78"/>
    </row>
    <row r="188" spans="1:10">
      <c r="A188" s="79" t="s">
        <v>7</v>
      </c>
      <c r="B188" s="79"/>
      <c r="C188" s="79"/>
      <c r="D188" s="95">
        <f t="shared" ref="D188:J188" si="52">D154-D186</f>
        <v>7872801.2215600014</v>
      </c>
      <c r="E188" s="95">
        <f t="shared" si="52"/>
        <v>9454681.9069079906</v>
      </c>
      <c r="F188" s="95">
        <f t="shared" si="52"/>
        <v>10662249.639428079</v>
      </c>
      <c r="G188" s="95">
        <f t="shared" si="52"/>
        <v>11966937.440432966</v>
      </c>
      <c r="H188" s="95">
        <f t="shared" si="52"/>
        <v>13375438.397439688</v>
      </c>
      <c r="I188" s="95">
        <f t="shared" si="52"/>
        <v>14894872.106546074</v>
      </c>
      <c r="J188" s="95">
        <f t="shared" si="52"/>
        <v>16532810.590569496</v>
      </c>
    </row>
    <row r="189" spans="1:10">
      <c r="A189" s="96"/>
      <c r="B189" s="96"/>
      <c r="C189" s="96"/>
      <c r="D189" s="76"/>
      <c r="E189" s="76"/>
      <c r="F189" s="76"/>
      <c r="G189" s="76"/>
      <c r="H189" s="76"/>
      <c r="I189" s="76"/>
      <c r="J189" s="76"/>
    </row>
    <row r="190" spans="1:10" hidden="1">
      <c r="A190" s="76"/>
      <c r="B190" s="76"/>
      <c r="C190" s="76"/>
      <c r="D190" s="76"/>
      <c r="E190" s="76"/>
      <c r="F190" s="76"/>
      <c r="G190" s="76"/>
      <c r="H190" s="76"/>
      <c r="I190" s="76"/>
      <c r="J190" s="76"/>
    </row>
    <row r="191" spans="1:10">
      <c r="A191" s="76"/>
      <c r="B191" s="76"/>
      <c r="C191" s="76"/>
      <c r="D191" s="76"/>
      <c r="E191" s="76"/>
      <c r="F191" s="76"/>
      <c r="G191" s="76"/>
      <c r="H191" s="76"/>
      <c r="I191" s="76"/>
      <c r="J191" s="76"/>
    </row>
    <row r="192" spans="1:10">
      <c r="A192" s="364" t="s">
        <v>430</v>
      </c>
      <c r="B192" s="364"/>
      <c r="C192" s="364"/>
      <c r="D192" s="364"/>
      <c r="E192" s="364"/>
      <c r="F192" s="364"/>
      <c r="G192" s="364"/>
      <c r="H192" s="364"/>
      <c r="I192" s="364"/>
      <c r="J192" s="364"/>
    </row>
    <row r="194" spans="1:2">
      <c r="A194" t="s">
        <v>542</v>
      </c>
    </row>
    <row r="195" spans="1:2">
      <c r="A195">
        <v>1</v>
      </c>
      <c r="B195" t="s">
        <v>555</v>
      </c>
    </row>
    <row r="196" spans="1:2">
      <c r="A196">
        <v>2</v>
      </c>
      <c r="B196" t="s">
        <v>556</v>
      </c>
    </row>
    <row r="197" spans="1:2">
      <c r="A197">
        <v>3</v>
      </c>
      <c r="B197" s="76" t="s">
        <v>606</v>
      </c>
    </row>
  </sheetData>
  <mergeCells count="4">
    <mergeCell ref="A133:J133"/>
    <mergeCell ref="A3:H3"/>
    <mergeCell ref="A192:J192"/>
    <mergeCell ref="A4:H4"/>
  </mergeCells>
  <pageMargins left="0.7" right="0.7" top="0.75" bottom="0.75" header="0.3" footer="0.3"/>
  <pageSetup paperSize="9" scale="67" orientation="landscape" r:id="rId1"/>
  <rowBreaks count="1" manualBreakCount="1">
    <brk id="139" max="9" man="1"/>
  </rowBreaks>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heetViews>
  <sheetFormatPr defaultRowHeight="15"/>
  <cols>
    <col min="1" max="1" width="30.42578125" bestFit="1" customWidth="1"/>
    <col min="2" max="2" width="12" customWidth="1"/>
    <col min="3" max="3" width="11.140625" customWidth="1"/>
    <col min="4" max="4" width="11.28515625" customWidth="1"/>
    <col min="5" max="5" width="12.28515625" customWidth="1"/>
    <col min="6" max="6" width="12.7109375" customWidth="1"/>
    <col min="7" max="9" width="12.28515625" customWidth="1"/>
    <col min="10" max="10" width="13" customWidth="1"/>
  </cols>
  <sheetData>
    <row r="2" spans="1:10" ht="18.75">
      <c r="A2" s="362" t="s">
        <v>593</v>
      </c>
      <c r="B2" s="362"/>
      <c r="C2" s="362"/>
      <c r="D2" s="362"/>
      <c r="E2" s="362"/>
      <c r="F2" s="362"/>
      <c r="G2" s="362"/>
      <c r="H2" s="362"/>
    </row>
    <row r="3" spans="1:10" ht="18.75">
      <c r="A3" s="362" t="s">
        <v>594</v>
      </c>
      <c r="B3" s="362"/>
      <c r="C3" s="362"/>
      <c r="D3" s="362"/>
      <c r="E3" s="362"/>
      <c r="F3" s="362"/>
      <c r="G3" s="362"/>
      <c r="H3" s="362"/>
    </row>
    <row r="4" spans="1:10">
      <c r="A4" s="76" t="s">
        <v>161</v>
      </c>
      <c r="B4" s="230">
        <v>500</v>
      </c>
      <c r="C4" s="161" t="s">
        <v>299</v>
      </c>
      <c r="D4" s="161"/>
      <c r="E4" s="161"/>
      <c r="F4" s="161"/>
      <c r="G4" s="76"/>
      <c r="H4" s="76"/>
    </row>
    <row r="5" spans="1:10">
      <c r="A5" s="76"/>
      <c r="B5" s="162"/>
      <c r="C5" s="76"/>
      <c r="D5" s="76"/>
      <c r="E5" s="76"/>
      <c r="F5" s="76"/>
      <c r="G5" s="76"/>
      <c r="H5" s="76"/>
    </row>
    <row r="6" spans="1:10">
      <c r="A6" s="76" t="s">
        <v>301</v>
      </c>
      <c r="B6" s="163">
        <v>12</v>
      </c>
      <c r="C6" s="76"/>
      <c r="D6" s="163"/>
      <c r="E6" s="163"/>
      <c r="F6" s="76"/>
      <c r="G6" s="76"/>
      <c r="H6" s="76"/>
    </row>
    <row r="7" spans="1:10">
      <c r="A7" s="76"/>
      <c r="B7" s="76"/>
      <c r="C7" s="163"/>
      <c r="D7" s="163"/>
      <c r="E7" s="163"/>
      <c r="F7" s="76"/>
      <c r="G7" s="76"/>
      <c r="H7" s="76"/>
    </row>
    <row r="8" spans="1:10">
      <c r="A8" s="128" t="s">
        <v>128</v>
      </c>
      <c r="B8" s="100" t="s">
        <v>2</v>
      </c>
      <c r="C8" s="100" t="s">
        <v>3</v>
      </c>
      <c r="D8" s="100" t="s">
        <v>4</v>
      </c>
      <c r="E8" s="100" t="s">
        <v>5</v>
      </c>
      <c r="F8" s="100" t="s">
        <v>6</v>
      </c>
      <c r="G8" s="100" t="s">
        <v>169</v>
      </c>
      <c r="H8" s="100" t="s">
        <v>168</v>
      </c>
    </row>
    <row r="9" spans="1:10">
      <c r="A9" s="77" t="s">
        <v>302</v>
      </c>
      <c r="B9" s="248">
        <v>0.7</v>
      </c>
      <c r="C9" s="248">
        <f>B9+5%</f>
        <v>0.75</v>
      </c>
      <c r="D9" s="248">
        <f>C9+5%</f>
        <v>0.8</v>
      </c>
      <c r="E9" s="248">
        <f>D9+5%</f>
        <v>0.85000000000000009</v>
      </c>
      <c r="F9" s="248">
        <f>E9+5%</f>
        <v>0.90000000000000013</v>
      </c>
      <c r="G9" s="248">
        <f>F9</f>
        <v>0.90000000000000013</v>
      </c>
      <c r="H9" s="248">
        <f>G9</f>
        <v>0.90000000000000013</v>
      </c>
    </row>
    <row r="10" spans="1:10">
      <c r="A10" s="79" t="s">
        <v>323</v>
      </c>
      <c r="B10" s="165">
        <f t="shared" ref="B10:H10" si="0">$B$4*B9*$B$6</f>
        <v>4200</v>
      </c>
      <c r="C10" s="165">
        <f t="shared" si="0"/>
        <v>4500</v>
      </c>
      <c r="D10" s="165">
        <f t="shared" si="0"/>
        <v>4800</v>
      </c>
      <c r="E10" s="165">
        <f t="shared" si="0"/>
        <v>5100.0000000000009</v>
      </c>
      <c r="F10" s="165">
        <f t="shared" si="0"/>
        <v>5400.0000000000009</v>
      </c>
      <c r="G10" s="165">
        <f t="shared" si="0"/>
        <v>5400.0000000000009</v>
      </c>
      <c r="H10" s="165">
        <f t="shared" si="0"/>
        <v>5400.0000000000009</v>
      </c>
    </row>
    <row r="15" spans="1:10" ht="18.75">
      <c r="A15" s="362" t="s">
        <v>595</v>
      </c>
      <c r="B15" s="362"/>
      <c r="C15" s="362"/>
      <c r="D15" s="362"/>
      <c r="E15" s="362"/>
      <c r="F15" s="362"/>
      <c r="G15" s="362"/>
      <c r="H15" s="362"/>
      <c r="I15" s="362"/>
      <c r="J15" s="362"/>
    </row>
    <row r="16" spans="1:10">
      <c r="A16" s="12"/>
      <c r="B16" s="12"/>
      <c r="C16" s="12"/>
      <c r="D16" s="12"/>
      <c r="E16" s="12"/>
      <c r="F16" s="12"/>
      <c r="G16" s="12"/>
      <c r="H16" s="12"/>
    </row>
    <row r="17" spans="1:10">
      <c r="A17" s="76"/>
      <c r="B17" s="76"/>
      <c r="C17" s="76"/>
      <c r="D17" s="158">
        <v>1</v>
      </c>
      <c r="E17" s="156">
        <f>(D17*5%)+D17</f>
        <v>1.05</v>
      </c>
      <c r="F17" s="156">
        <f t="shared" ref="F17:J17" si="1">(E17*5%)+E17</f>
        <v>1.1025</v>
      </c>
      <c r="G17" s="156">
        <f t="shared" si="1"/>
        <v>1.1576250000000001</v>
      </c>
      <c r="H17" s="156">
        <f t="shared" si="1"/>
        <v>1.2155062500000002</v>
      </c>
      <c r="I17" s="156">
        <f t="shared" si="1"/>
        <v>1.2762815625000004</v>
      </c>
      <c r="J17" s="156">
        <f t="shared" si="1"/>
        <v>1.3400956406250004</v>
      </c>
    </row>
    <row r="18" spans="1:10">
      <c r="A18" s="128" t="s">
        <v>0</v>
      </c>
      <c r="B18" s="128" t="s">
        <v>133</v>
      </c>
      <c r="C18" s="128" t="s">
        <v>152</v>
      </c>
      <c r="D18" s="100" t="s">
        <v>2</v>
      </c>
      <c r="E18" s="100" t="s">
        <v>3</v>
      </c>
      <c r="F18" s="100" t="s">
        <v>4</v>
      </c>
      <c r="G18" s="100" t="s">
        <v>5</v>
      </c>
      <c r="H18" s="100" t="s">
        <v>6</v>
      </c>
      <c r="I18" s="100" t="s">
        <v>169</v>
      </c>
      <c r="J18" s="100" t="s">
        <v>168</v>
      </c>
    </row>
    <row r="19" spans="1:10">
      <c r="A19" s="77"/>
      <c r="B19" s="77"/>
      <c r="C19" s="77"/>
      <c r="D19" s="77"/>
      <c r="E19" s="77"/>
      <c r="F19" s="77"/>
      <c r="G19" s="77"/>
      <c r="H19" s="77"/>
      <c r="I19" s="77"/>
      <c r="J19" s="77"/>
    </row>
    <row r="20" spans="1:10">
      <c r="A20" s="79" t="s">
        <v>177</v>
      </c>
      <c r="B20" s="79"/>
      <c r="C20" s="79"/>
      <c r="D20" s="77"/>
      <c r="E20" s="77"/>
      <c r="F20" s="77"/>
      <c r="G20" s="77"/>
      <c r="H20" s="77"/>
      <c r="I20" s="77"/>
      <c r="J20" s="77"/>
    </row>
    <row r="21" spans="1:10">
      <c r="A21" s="77" t="s">
        <v>325</v>
      </c>
      <c r="B21" s="77"/>
      <c r="C21" s="225">
        <v>100</v>
      </c>
      <c r="D21" s="78">
        <f t="shared" ref="D21:J21" si="2">B10*$C$21*D17</f>
        <v>420000</v>
      </c>
      <c r="E21" s="78">
        <f t="shared" si="2"/>
        <v>472500</v>
      </c>
      <c r="F21" s="78">
        <f t="shared" si="2"/>
        <v>529200</v>
      </c>
      <c r="G21" s="78">
        <f t="shared" si="2"/>
        <v>590388.75000000023</v>
      </c>
      <c r="H21" s="78">
        <f t="shared" si="2"/>
        <v>656373.37500000023</v>
      </c>
      <c r="I21" s="78">
        <f t="shared" si="2"/>
        <v>689192.0437500003</v>
      </c>
      <c r="J21" s="78">
        <f t="shared" si="2"/>
        <v>723651.64593750041</v>
      </c>
    </row>
    <row r="22" spans="1:10">
      <c r="A22" s="77"/>
      <c r="B22" s="77"/>
      <c r="C22" s="78"/>
      <c r="D22" s="78"/>
      <c r="E22" s="78"/>
      <c r="F22" s="78"/>
      <c r="G22" s="78"/>
      <c r="H22" s="78"/>
      <c r="I22" s="78"/>
      <c r="J22" s="78"/>
    </row>
    <row r="23" spans="1:10">
      <c r="A23" s="79" t="s">
        <v>144</v>
      </c>
      <c r="B23" s="79"/>
      <c r="C23" s="95"/>
      <c r="D23" s="78">
        <f t="shared" ref="D23:J23" si="3">SUM(D21:D21)</f>
        <v>420000</v>
      </c>
      <c r="E23" s="78">
        <f t="shared" si="3"/>
        <v>472500</v>
      </c>
      <c r="F23" s="78">
        <f t="shared" si="3"/>
        <v>529200</v>
      </c>
      <c r="G23" s="78">
        <f t="shared" si="3"/>
        <v>590388.75000000023</v>
      </c>
      <c r="H23" s="78">
        <f t="shared" si="3"/>
        <v>656373.37500000023</v>
      </c>
      <c r="I23" s="78">
        <f t="shared" si="3"/>
        <v>689192.0437500003</v>
      </c>
      <c r="J23" s="78">
        <f t="shared" si="3"/>
        <v>723651.64593750041</v>
      </c>
    </row>
    <row r="24" spans="1:10">
      <c r="A24" s="77"/>
      <c r="B24" s="77"/>
      <c r="C24" s="78"/>
      <c r="D24" s="78"/>
      <c r="E24" s="78"/>
      <c r="F24" s="78"/>
      <c r="G24" s="78"/>
      <c r="H24" s="78"/>
      <c r="I24" s="78"/>
      <c r="J24" s="78"/>
    </row>
    <row r="25" spans="1:10">
      <c r="A25" s="79" t="s">
        <v>143</v>
      </c>
      <c r="B25" s="79"/>
      <c r="C25" s="78"/>
      <c r="D25" s="78"/>
      <c r="E25" s="78"/>
      <c r="F25" s="78"/>
      <c r="G25" s="78"/>
      <c r="H25" s="78"/>
      <c r="I25" s="78"/>
      <c r="J25" s="78"/>
    </row>
    <row r="26" spans="1:10">
      <c r="A26" s="79" t="s">
        <v>312</v>
      </c>
      <c r="B26" s="79"/>
      <c r="C26" s="78"/>
      <c r="D26" s="78"/>
      <c r="E26" s="78"/>
      <c r="F26" s="78"/>
      <c r="G26" s="78"/>
      <c r="H26" s="78"/>
      <c r="I26" s="78"/>
      <c r="J26" s="78"/>
    </row>
    <row r="27" spans="1:10">
      <c r="A27" s="77" t="s">
        <v>303</v>
      </c>
      <c r="B27" s="201" t="s">
        <v>299</v>
      </c>
      <c r="C27" s="225">
        <v>10</v>
      </c>
      <c r="D27" s="78">
        <f t="shared" ref="D27:J27" si="4">$B$4*$C$27*D17*4</f>
        <v>20000</v>
      </c>
      <c r="E27" s="78">
        <f t="shared" si="4"/>
        <v>21000</v>
      </c>
      <c r="F27" s="78">
        <f t="shared" si="4"/>
        <v>22050</v>
      </c>
      <c r="G27" s="78">
        <f t="shared" si="4"/>
        <v>23152.500000000004</v>
      </c>
      <c r="H27" s="78">
        <f t="shared" si="4"/>
        <v>24310.125000000004</v>
      </c>
      <c r="I27" s="78">
        <f t="shared" si="4"/>
        <v>25525.631250000006</v>
      </c>
      <c r="J27" s="78">
        <f t="shared" si="4"/>
        <v>26801.91281250001</v>
      </c>
    </row>
    <row r="28" spans="1:10">
      <c r="A28" s="77" t="s">
        <v>304</v>
      </c>
      <c r="B28" s="201" t="s">
        <v>299</v>
      </c>
      <c r="C28" s="225">
        <v>10</v>
      </c>
      <c r="D28" s="78">
        <f t="shared" ref="D28:J28" si="5">$B$4*$C$28*D17*12</f>
        <v>60000</v>
      </c>
      <c r="E28" s="78">
        <f t="shared" si="5"/>
        <v>63000</v>
      </c>
      <c r="F28" s="78">
        <f t="shared" si="5"/>
        <v>66150</v>
      </c>
      <c r="G28" s="78">
        <f t="shared" si="5"/>
        <v>69457.500000000015</v>
      </c>
      <c r="H28" s="78">
        <f t="shared" si="5"/>
        <v>72930.375000000015</v>
      </c>
      <c r="I28" s="78">
        <f t="shared" si="5"/>
        <v>76576.893750000017</v>
      </c>
      <c r="J28" s="78">
        <f t="shared" si="5"/>
        <v>80405.738437500026</v>
      </c>
    </row>
    <row r="29" spans="1:10">
      <c r="A29" s="77" t="s">
        <v>305</v>
      </c>
      <c r="B29" s="201"/>
      <c r="C29" s="225">
        <v>0</v>
      </c>
      <c r="D29" s="78">
        <f>$C$29*12*D17</f>
        <v>0</v>
      </c>
      <c r="E29" s="78">
        <f t="shared" ref="E29:J29" si="6">$C$29*12*E17</f>
        <v>0</v>
      </c>
      <c r="F29" s="78">
        <f t="shared" si="6"/>
        <v>0</v>
      </c>
      <c r="G29" s="78">
        <f t="shared" si="6"/>
        <v>0</v>
      </c>
      <c r="H29" s="78">
        <f t="shared" si="6"/>
        <v>0</v>
      </c>
      <c r="I29" s="78">
        <f t="shared" si="6"/>
        <v>0</v>
      </c>
      <c r="J29" s="78">
        <f t="shared" si="6"/>
        <v>0</v>
      </c>
    </row>
    <row r="30" spans="1:10">
      <c r="A30" s="77"/>
      <c r="B30" s="201"/>
      <c r="C30" s="225"/>
      <c r="D30" s="78"/>
      <c r="E30" s="78"/>
      <c r="F30" s="78"/>
      <c r="G30" s="78"/>
      <c r="H30" s="78"/>
      <c r="I30" s="78"/>
      <c r="J30" s="78"/>
    </row>
    <row r="31" spans="1:10">
      <c r="A31" s="77"/>
      <c r="B31" s="201"/>
      <c r="C31" s="225"/>
      <c r="D31" s="78"/>
      <c r="E31" s="78"/>
      <c r="F31" s="78"/>
      <c r="G31" s="78"/>
      <c r="H31" s="78"/>
      <c r="I31" s="78"/>
      <c r="J31" s="78"/>
    </row>
    <row r="32" spans="1:10">
      <c r="A32" s="77"/>
      <c r="B32" s="201"/>
      <c r="C32" s="225"/>
      <c r="D32" s="78"/>
      <c r="E32" s="78"/>
      <c r="F32" s="78"/>
      <c r="G32" s="78"/>
      <c r="H32" s="78"/>
      <c r="I32" s="78"/>
      <c r="J32" s="78"/>
    </row>
    <row r="33" spans="1:10">
      <c r="A33" s="77"/>
      <c r="B33" s="201"/>
      <c r="C33" s="225"/>
      <c r="D33" s="78"/>
      <c r="E33" s="78"/>
      <c r="F33" s="78"/>
      <c r="G33" s="78"/>
      <c r="H33" s="78"/>
      <c r="I33" s="78"/>
      <c r="J33" s="78"/>
    </row>
    <row r="34" spans="1:10">
      <c r="A34" s="79" t="s">
        <v>322</v>
      </c>
      <c r="B34" s="206"/>
      <c r="C34" s="229"/>
      <c r="D34" s="95">
        <f>SUM(D27:D33)</f>
        <v>80000</v>
      </c>
      <c r="E34" s="95">
        <f t="shared" ref="E34:J34" si="7">SUM(E27:E33)</f>
        <v>84000</v>
      </c>
      <c r="F34" s="95">
        <f t="shared" si="7"/>
        <v>88200</v>
      </c>
      <c r="G34" s="95">
        <f t="shared" si="7"/>
        <v>92610.000000000015</v>
      </c>
      <c r="H34" s="95">
        <f t="shared" si="7"/>
        <v>97240.500000000015</v>
      </c>
      <c r="I34" s="95">
        <f t="shared" si="7"/>
        <v>102102.52500000002</v>
      </c>
      <c r="J34" s="95">
        <f t="shared" si="7"/>
        <v>107207.65125000004</v>
      </c>
    </row>
    <row r="35" spans="1:10">
      <c r="A35" s="79"/>
      <c r="B35" s="206"/>
      <c r="C35" s="229"/>
      <c r="D35" s="95"/>
      <c r="E35" s="95"/>
      <c r="F35" s="95"/>
      <c r="G35" s="95"/>
      <c r="H35" s="95"/>
      <c r="I35" s="95"/>
      <c r="J35" s="95"/>
    </row>
    <row r="36" spans="1:10">
      <c r="A36" s="79" t="s">
        <v>310</v>
      </c>
      <c r="B36" s="201"/>
      <c r="C36" s="225"/>
      <c r="D36" s="78"/>
      <c r="E36" s="78"/>
      <c r="F36" s="78"/>
      <c r="G36" s="78"/>
      <c r="H36" s="78"/>
      <c r="I36" s="78"/>
      <c r="J36" s="78"/>
    </row>
    <row r="37" spans="1:10">
      <c r="A37" s="77" t="s">
        <v>324</v>
      </c>
      <c r="B37" s="201">
        <v>1</v>
      </c>
      <c r="C37" s="225">
        <v>0</v>
      </c>
      <c r="D37" s="78">
        <f>$B$37*$C$37*D17*12</f>
        <v>0</v>
      </c>
      <c r="E37" s="78">
        <f t="shared" ref="E37:J37" si="8">$B$37*$C$37*E17*12</f>
        <v>0</v>
      </c>
      <c r="F37" s="78">
        <f t="shared" si="8"/>
        <v>0</v>
      </c>
      <c r="G37" s="78">
        <f t="shared" si="8"/>
        <v>0</v>
      </c>
      <c r="H37" s="78">
        <f t="shared" si="8"/>
        <v>0</v>
      </c>
      <c r="I37" s="78">
        <f t="shared" si="8"/>
        <v>0</v>
      </c>
      <c r="J37" s="78">
        <f t="shared" si="8"/>
        <v>0</v>
      </c>
    </row>
    <row r="38" spans="1:10">
      <c r="A38" s="77"/>
      <c r="B38" s="201"/>
      <c r="C38" s="225"/>
      <c r="D38" s="78"/>
      <c r="E38" s="78"/>
      <c r="F38" s="78"/>
      <c r="G38" s="78"/>
      <c r="H38" s="78"/>
      <c r="I38" s="78"/>
      <c r="J38" s="78"/>
    </row>
    <row r="39" spans="1:10">
      <c r="A39" s="77"/>
      <c r="B39" s="201"/>
      <c r="C39" s="225"/>
      <c r="D39" s="78"/>
      <c r="E39" s="78"/>
      <c r="F39" s="78"/>
      <c r="G39" s="78"/>
      <c r="H39" s="78"/>
      <c r="I39" s="78"/>
      <c r="J39" s="78"/>
    </row>
    <row r="40" spans="1:10">
      <c r="A40" s="77"/>
      <c r="B40" s="201"/>
      <c r="C40" s="225"/>
      <c r="D40" s="78"/>
      <c r="E40" s="78"/>
      <c r="F40" s="78"/>
      <c r="G40" s="78"/>
      <c r="H40" s="78"/>
      <c r="I40" s="78"/>
      <c r="J40" s="78"/>
    </row>
    <row r="41" spans="1:10">
      <c r="A41" s="77"/>
      <c r="B41" s="201"/>
      <c r="C41" s="225"/>
      <c r="D41" s="78"/>
      <c r="E41" s="78"/>
      <c r="F41" s="78"/>
      <c r="G41" s="78"/>
      <c r="H41" s="78"/>
      <c r="I41" s="78"/>
      <c r="J41" s="78"/>
    </row>
    <row r="42" spans="1:10">
      <c r="A42" s="77"/>
      <c r="B42" s="201"/>
      <c r="C42" s="225"/>
      <c r="D42" s="78"/>
      <c r="E42" s="78"/>
      <c r="F42" s="78"/>
      <c r="G42" s="78"/>
      <c r="H42" s="78"/>
      <c r="I42" s="78"/>
      <c r="J42" s="78"/>
    </row>
    <row r="43" spans="1:10">
      <c r="A43" s="79" t="s">
        <v>326</v>
      </c>
      <c r="B43" s="79"/>
      <c r="C43" s="95"/>
      <c r="D43" s="95">
        <f>SUM(D37:D42)</f>
        <v>0</v>
      </c>
      <c r="E43" s="95">
        <f t="shared" ref="E43:J43" si="9">SUM(E37:E42)</f>
        <v>0</v>
      </c>
      <c r="F43" s="95">
        <f t="shared" si="9"/>
        <v>0</v>
      </c>
      <c r="G43" s="95">
        <f t="shared" si="9"/>
        <v>0</v>
      </c>
      <c r="H43" s="95">
        <f t="shared" si="9"/>
        <v>0</v>
      </c>
      <c r="I43" s="95">
        <f t="shared" si="9"/>
        <v>0</v>
      </c>
      <c r="J43" s="95">
        <f t="shared" si="9"/>
        <v>0</v>
      </c>
    </row>
    <row r="44" spans="1:10">
      <c r="A44" s="79"/>
      <c r="B44" s="79"/>
      <c r="C44" s="95"/>
      <c r="D44" s="95"/>
      <c r="E44" s="95"/>
      <c r="F44" s="95"/>
      <c r="G44" s="95"/>
      <c r="H44" s="95"/>
      <c r="I44" s="95"/>
      <c r="J44" s="95"/>
    </row>
    <row r="45" spans="1:10">
      <c r="A45" s="79" t="s">
        <v>130</v>
      </c>
      <c r="B45" s="79"/>
      <c r="C45" s="95"/>
      <c r="D45" s="95">
        <f>D34+D43</f>
        <v>80000</v>
      </c>
      <c r="E45" s="95">
        <f t="shared" ref="E45:J45" si="10">E34+E43</f>
        <v>84000</v>
      </c>
      <c r="F45" s="95">
        <f t="shared" si="10"/>
        <v>88200</v>
      </c>
      <c r="G45" s="95">
        <f t="shared" si="10"/>
        <v>92610.000000000015</v>
      </c>
      <c r="H45" s="95">
        <f t="shared" si="10"/>
        <v>97240.500000000015</v>
      </c>
      <c r="I45" s="95">
        <f t="shared" si="10"/>
        <v>102102.52500000002</v>
      </c>
      <c r="J45" s="95">
        <f t="shared" si="10"/>
        <v>107207.65125000004</v>
      </c>
    </row>
    <row r="46" spans="1:10">
      <c r="A46" s="77"/>
      <c r="B46" s="77"/>
      <c r="C46" s="78"/>
      <c r="D46" s="78"/>
      <c r="E46" s="78"/>
      <c r="F46" s="78"/>
      <c r="G46" s="78"/>
      <c r="H46" s="78"/>
      <c r="I46" s="78"/>
      <c r="J46" s="78"/>
    </row>
    <row r="47" spans="1:10">
      <c r="A47" s="79" t="s">
        <v>129</v>
      </c>
      <c r="B47" s="79"/>
      <c r="C47" s="95"/>
      <c r="D47" s="95">
        <f t="shared" ref="D47:J47" si="11">D23-D45</f>
        <v>340000</v>
      </c>
      <c r="E47" s="95">
        <f t="shared" si="11"/>
        <v>388500</v>
      </c>
      <c r="F47" s="95">
        <f t="shared" si="11"/>
        <v>441000</v>
      </c>
      <c r="G47" s="95">
        <f t="shared" si="11"/>
        <v>497778.75000000023</v>
      </c>
      <c r="H47" s="95">
        <f t="shared" si="11"/>
        <v>559132.87500000023</v>
      </c>
      <c r="I47" s="95">
        <f t="shared" si="11"/>
        <v>587089.51875000028</v>
      </c>
      <c r="J47" s="95">
        <f t="shared" si="11"/>
        <v>616443.99468750041</v>
      </c>
    </row>
    <row r="48" spans="1:10">
      <c r="A48" s="76"/>
      <c r="B48" s="76"/>
      <c r="C48" s="76"/>
      <c r="D48" s="76"/>
      <c r="E48" s="76"/>
      <c r="F48" s="76"/>
      <c r="G48" s="76"/>
      <c r="H48" s="76"/>
      <c r="I48" s="76"/>
      <c r="J48" s="76"/>
    </row>
    <row r="49" spans="1:10">
      <c r="A49" s="76"/>
    </row>
    <row r="51" spans="1:10">
      <c r="A51" s="364" t="s">
        <v>430</v>
      </c>
      <c r="B51" s="364"/>
      <c r="C51" s="364"/>
      <c r="D51" s="364"/>
      <c r="E51" s="364"/>
      <c r="F51" s="364"/>
      <c r="G51" s="364"/>
      <c r="H51" s="364"/>
      <c r="I51" s="364"/>
      <c r="J51" s="364"/>
    </row>
    <row r="53" spans="1:10">
      <c r="A53" t="s">
        <v>542</v>
      </c>
    </row>
    <row r="54" spans="1:10">
      <c r="A54">
        <v>1</v>
      </c>
      <c r="B54" t="s">
        <v>555</v>
      </c>
    </row>
    <row r="55" spans="1:10">
      <c r="A55">
        <v>2</v>
      </c>
      <c r="B55" t="s">
        <v>556</v>
      </c>
    </row>
    <row r="56" spans="1:10">
      <c r="A56">
        <v>3</v>
      </c>
      <c r="B56" s="76" t="s">
        <v>606</v>
      </c>
    </row>
  </sheetData>
  <mergeCells count="4">
    <mergeCell ref="A15:J15"/>
    <mergeCell ref="A2:H2"/>
    <mergeCell ref="A51:J51"/>
    <mergeCell ref="A3:H3"/>
  </mergeCells>
  <pageMargins left="0.7" right="0.7" top="0.75" bottom="0.75" header="0.3" footer="0.3"/>
  <pageSetup paperSize="9" scale="85" orientation="landscape"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80" zoomScaleSheetLayoutView="80" workbookViewId="0"/>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62" t="s">
        <v>596</v>
      </c>
      <c r="B3" s="362"/>
      <c r="C3" s="362"/>
      <c r="D3" s="362"/>
      <c r="E3" s="362"/>
      <c r="F3" s="362"/>
      <c r="G3" s="362"/>
      <c r="H3" s="362"/>
      <c r="I3" s="362"/>
      <c r="J3" s="362"/>
      <c r="K3" s="362"/>
      <c r="L3" s="362"/>
    </row>
    <row r="4" spans="1:13" ht="18.75">
      <c r="A4" s="362" t="s">
        <v>597</v>
      </c>
      <c r="B4" s="362"/>
      <c r="C4" s="362"/>
      <c r="D4" s="362"/>
      <c r="E4" s="362"/>
      <c r="F4" s="362"/>
      <c r="G4" s="362"/>
      <c r="H4" s="362"/>
      <c r="I4" s="362"/>
      <c r="J4" s="362"/>
      <c r="K4" s="362"/>
      <c r="L4" s="362"/>
    </row>
    <row r="5" spans="1:13">
      <c r="A5" s="76"/>
      <c r="B5" s="76"/>
      <c r="C5" s="76"/>
    </row>
    <row r="6" spans="1:13">
      <c r="A6" s="76"/>
      <c r="B6" s="76"/>
      <c r="C6" s="76"/>
    </row>
    <row r="7" spans="1:13" ht="45">
      <c r="A7" s="257" t="s">
        <v>146</v>
      </c>
      <c r="B7" s="258" t="s">
        <v>438</v>
      </c>
      <c r="C7" s="258" t="s">
        <v>441</v>
      </c>
      <c r="D7" s="258" t="s">
        <v>439</v>
      </c>
      <c r="E7" s="258" t="s">
        <v>440</v>
      </c>
      <c r="F7" s="258" t="s">
        <v>306</v>
      </c>
      <c r="G7" s="258" t="s">
        <v>442</v>
      </c>
      <c r="H7" s="258" t="s">
        <v>443</v>
      </c>
      <c r="I7" s="258" t="s">
        <v>444</v>
      </c>
      <c r="J7" s="260" t="s">
        <v>447</v>
      </c>
      <c r="K7" s="258" t="s">
        <v>445</v>
      </c>
      <c r="L7" s="260" t="s">
        <v>446</v>
      </c>
      <c r="M7" s="258" t="s">
        <v>449</v>
      </c>
    </row>
    <row r="8" spans="1:13">
      <c r="A8" s="259">
        <v>1</v>
      </c>
      <c r="B8" s="253"/>
      <c r="C8" s="253"/>
      <c r="D8" s="253"/>
      <c r="E8" s="253"/>
      <c r="F8" s="9"/>
      <c r="G8" s="253"/>
      <c r="H8" s="9"/>
      <c r="I8" s="253"/>
      <c r="J8" s="9"/>
      <c r="K8" s="253"/>
      <c r="L8" s="253"/>
      <c r="M8" s="9"/>
    </row>
    <row r="9" spans="1:13">
      <c r="A9" s="259">
        <v>2</v>
      </c>
      <c r="B9" s="253"/>
      <c r="C9" s="253"/>
      <c r="D9" s="253"/>
      <c r="E9" s="253"/>
      <c r="F9" s="9"/>
      <c r="G9" s="253"/>
      <c r="H9" s="9"/>
      <c r="I9" s="253"/>
      <c r="J9" s="9"/>
      <c r="K9" s="253"/>
      <c r="L9" s="253"/>
      <c r="M9" s="9"/>
    </row>
    <row r="10" spans="1:13">
      <c r="A10" s="259">
        <v>3</v>
      </c>
      <c r="B10" s="253"/>
      <c r="C10" s="253"/>
      <c r="D10" s="253"/>
      <c r="E10" s="253"/>
      <c r="F10" s="9"/>
      <c r="G10" s="253"/>
      <c r="H10" s="9"/>
      <c r="I10" s="253"/>
      <c r="J10" s="9"/>
      <c r="K10" s="253"/>
      <c r="L10" s="253"/>
      <c r="M10" s="9"/>
    </row>
    <row r="11" spans="1:13">
      <c r="A11" s="259">
        <v>4</v>
      </c>
      <c r="B11" s="253"/>
      <c r="C11" s="253"/>
      <c r="D11" s="253"/>
      <c r="E11" s="253"/>
      <c r="F11" s="9"/>
      <c r="G11" s="253"/>
      <c r="H11" s="9"/>
      <c r="I11" s="253"/>
      <c r="J11" s="9"/>
      <c r="K11" s="253"/>
      <c r="L11" s="253"/>
      <c r="M11" s="9"/>
    </row>
    <row r="12" spans="1:13">
      <c r="A12" s="259">
        <v>5</v>
      </c>
      <c r="B12" s="253"/>
      <c r="C12" s="253"/>
      <c r="D12" s="253"/>
      <c r="E12" s="253"/>
      <c r="F12" s="9"/>
      <c r="G12" s="253"/>
      <c r="H12" s="9"/>
      <c r="I12" s="253"/>
      <c r="J12" s="9"/>
      <c r="K12" s="253"/>
      <c r="L12" s="253"/>
      <c r="M12" s="9"/>
    </row>
    <row r="13" spans="1:13">
      <c r="A13" s="259">
        <v>6</v>
      </c>
      <c r="B13" s="9"/>
      <c r="C13" s="9"/>
      <c r="D13" s="9"/>
      <c r="E13" s="9"/>
      <c r="F13" s="9"/>
      <c r="G13" s="9"/>
      <c r="H13" s="253"/>
      <c r="I13" s="9"/>
      <c r="J13" s="9"/>
      <c r="K13" s="9"/>
      <c r="L13" s="9"/>
      <c r="M13" s="9"/>
    </row>
    <row r="14" spans="1:13">
      <c r="A14" s="259">
        <v>7</v>
      </c>
      <c r="B14" s="9"/>
      <c r="C14" s="9"/>
      <c r="D14" s="9"/>
      <c r="E14" s="9"/>
      <c r="F14" s="9">
        <f t="shared" ref="F14:F17" si="0">D14*E14*C14</f>
        <v>0</v>
      </c>
      <c r="G14" s="9">
        <v>0</v>
      </c>
      <c r="H14" s="253"/>
      <c r="I14" s="9"/>
      <c r="J14" s="9">
        <f t="shared" ref="J14:J17" si="1">H14*I14</f>
        <v>0</v>
      </c>
      <c r="K14" s="9"/>
      <c r="L14" s="9"/>
      <c r="M14" s="9">
        <f t="shared" ref="M14:M17" si="2">D14*L14</f>
        <v>0</v>
      </c>
    </row>
    <row r="15" spans="1:13">
      <c r="A15" s="259">
        <v>8</v>
      </c>
      <c r="B15" s="9"/>
      <c r="C15" s="9"/>
      <c r="D15" s="9"/>
      <c r="E15" s="9"/>
      <c r="F15" s="9">
        <f t="shared" si="0"/>
        <v>0</v>
      </c>
      <c r="G15" s="9">
        <v>0</v>
      </c>
      <c r="H15" s="253"/>
      <c r="I15" s="9"/>
      <c r="J15" s="9">
        <f t="shared" si="1"/>
        <v>0</v>
      </c>
      <c r="K15" s="9"/>
      <c r="L15" s="9"/>
      <c r="M15" s="9">
        <f t="shared" si="2"/>
        <v>0</v>
      </c>
    </row>
    <row r="16" spans="1:13">
      <c r="A16" s="259">
        <v>9</v>
      </c>
      <c r="B16" s="9"/>
      <c r="C16" s="9"/>
      <c r="D16" s="9"/>
      <c r="E16" s="9"/>
      <c r="F16" s="9">
        <f t="shared" si="0"/>
        <v>0</v>
      </c>
      <c r="G16" s="9">
        <v>0</v>
      </c>
      <c r="H16" s="253"/>
      <c r="I16" s="9"/>
      <c r="J16" s="9">
        <f t="shared" si="1"/>
        <v>0</v>
      </c>
      <c r="K16" s="9"/>
      <c r="L16" s="9"/>
      <c r="M16" s="9">
        <f t="shared" si="2"/>
        <v>0</v>
      </c>
    </row>
    <row r="17" spans="1:16">
      <c r="A17" s="259">
        <v>10</v>
      </c>
      <c r="B17" s="9"/>
      <c r="C17" s="9"/>
      <c r="D17" s="9"/>
      <c r="E17" s="9"/>
      <c r="F17" s="9">
        <f t="shared" si="0"/>
        <v>0</v>
      </c>
      <c r="G17" s="9">
        <v>0</v>
      </c>
      <c r="H17" s="253"/>
      <c r="I17" s="9"/>
      <c r="J17" s="9">
        <f t="shared" si="1"/>
        <v>0</v>
      </c>
      <c r="K17" s="9"/>
      <c r="L17" s="9"/>
      <c r="M17" s="9">
        <f t="shared" si="2"/>
        <v>0</v>
      </c>
    </row>
    <row r="18" spans="1:16">
      <c r="A18" s="13"/>
      <c r="B18" s="13"/>
    </row>
    <row r="19" spans="1:16">
      <c r="A19" s="13"/>
      <c r="B19" s="13"/>
    </row>
    <row r="21" spans="1:16" ht="18.75">
      <c r="A21" s="362" t="s">
        <v>598</v>
      </c>
      <c r="B21" s="362"/>
      <c r="C21" s="362"/>
      <c r="D21" s="362"/>
      <c r="E21" s="362"/>
      <c r="F21" s="362"/>
      <c r="G21" s="362"/>
      <c r="H21" s="362"/>
      <c r="I21" s="362"/>
      <c r="J21" s="362"/>
      <c r="K21" s="362"/>
    </row>
    <row r="23" spans="1:16">
      <c r="A23" s="76"/>
      <c r="B23" s="76"/>
      <c r="C23" s="76"/>
      <c r="D23" s="76"/>
      <c r="E23" s="158">
        <v>1</v>
      </c>
      <c r="F23" s="156">
        <f>(E23*5%)+E23</f>
        <v>1.05</v>
      </c>
      <c r="G23" s="156">
        <f t="shared" ref="G23:K23" si="3">(F23*5%)+F23</f>
        <v>1.1025</v>
      </c>
      <c r="H23" s="156">
        <f t="shared" si="3"/>
        <v>1.1576250000000001</v>
      </c>
      <c r="I23" s="156">
        <f t="shared" si="3"/>
        <v>1.2155062500000002</v>
      </c>
      <c r="J23" s="156">
        <f t="shared" si="3"/>
        <v>1.2762815625000004</v>
      </c>
      <c r="K23" s="156">
        <f t="shared" si="3"/>
        <v>1.3400956406250004</v>
      </c>
    </row>
    <row r="24" spans="1:16">
      <c r="A24" s="128" t="s">
        <v>0</v>
      </c>
      <c r="B24" s="128" t="s">
        <v>133</v>
      </c>
      <c r="C24" s="128" t="s">
        <v>147</v>
      </c>
      <c r="D24" s="128" t="s">
        <v>152</v>
      </c>
      <c r="E24" s="100" t="s">
        <v>2</v>
      </c>
      <c r="F24" s="100" t="s">
        <v>3</v>
      </c>
      <c r="G24" s="100" t="s">
        <v>4</v>
      </c>
      <c r="H24" s="100" t="s">
        <v>5</v>
      </c>
      <c r="I24" s="100" t="s">
        <v>6</v>
      </c>
      <c r="J24" s="100" t="s">
        <v>169</v>
      </c>
      <c r="K24" s="100" t="s">
        <v>168</v>
      </c>
    </row>
    <row r="25" spans="1:16">
      <c r="A25" s="79"/>
      <c r="B25" s="79"/>
      <c r="C25" s="79"/>
      <c r="D25" s="79"/>
      <c r="E25" s="77"/>
      <c r="F25" s="77"/>
      <c r="G25" s="77"/>
      <c r="H25" s="77"/>
      <c r="I25" s="77"/>
      <c r="J25" s="77"/>
      <c r="K25" s="77"/>
    </row>
    <row r="26" spans="1:16">
      <c r="A26" s="79" t="s">
        <v>127</v>
      </c>
      <c r="B26" s="79"/>
      <c r="C26" s="79"/>
      <c r="D26" s="79"/>
      <c r="E26" s="77"/>
      <c r="F26" s="77"/>
      <c r="G26" s="77"/>
      <c r="H26" s="77"/>
      <c r="I26" s="77"/>
      <c r="J26" s="77"/>
      <c r="K26" s="77"/>
      <c r="P26" s="76"/>
    </row>
    <row r="27" spans="1:16">
      <c r="A27" s="170" t="s">
        <v>451</v>
      </c>
      <c r="B27" s="89"/>
      <c r="C27" s="89"/>
      <c r="D27" s="89"/>
      <c r="E27" s="78"/>
      <c r="F27" s="78"/>
      <c r="G27" s="78"/>
      <c r="H27" s="78"/>
      <c r="I27" s="78"/>
      <c r="J27" s="78"/>
      <c r="K27" s="78"/>
      <c r="P27" s="76"/>
    </row>
    <row r="28" spans="1:16">
      <c r="A28" s="89">
        <f>B8</f>
        <v>0</v>
      </c>
      <c r="B28" s="89"/>
      <c r="C28" s="89">
        <f>H8</f>
        <v>0</v>
      </c>
      <c r="D28" s="89">
        <f>K8</f>
        <v>0</v>
      </c>
      <c r="E28" s="78">
        <f>$C$28*$D$28*E23</f>
        <v>0</v>
      </c>
      <c r="F28" s="78">
        <f t="shared" ref="F28:K28" si="4">$C$28*$D$28*F23</f>
        <v>0</v>
      </c>
      <c r="G28" s="78">
        <f t="shared" si="4"/>
        <v>0</v>
      </c>
      <c r="H28" s="78">
        <f t="shared" si="4"/>
        <v>0</v>
      </c>
      <c r="I28" s="78">
        <f t="shared" si="4"/>
        <v>0</v>
      </c>
      <c r="J28" s="78">
        <f t="shared" si="4"/>
        <v>0</v>
      </c>
      <c r="K28" s="78">
        <f t="shared" si="4"/>
        <v>0</v>
      </c>
      <c r="P28" s="76"/>
    </row>
    <row r="29" spans="1:16">
      <c r="A29" s="89">
        <f>B9</f>
        <v>0</v>
      </c>
      <c r="B29" s="89"/>
      <c r="C29" s="89">
        <f t="shared" ref="C29:C38" si="5">H9</f>
        <v>0</v>
      </c>
      <c r="D29" s="89">
        <f>K9</f>
        <v>0</v>
      </c>
      <c r="E29" s="78">
        <f>$C$29*$D$29*E23</f>
        <v>0</v>
      </c>
      <c r="F29" s="78">
        <f t="shared" ref="F29:K29" si="6">$C$29*$D$29*F23</f>
        <v>0</v>
      </c>
      <c r="G29" s="78">
        <f t="shared" si="6"/>
        <v>0</v>
      </c>
      <c r="H29" s="78">
        <f t="shared" si="6"/>
        <v>0</v>
      </c>
      <c r="I29" s="78">
        <f t="shared" si="6"/>
        <v>0</v>
      </c>
      <c r="J29" s="78">
        <f t="shared" si="6"/>
        <v>0</v>
      </c>
      <c r="K29" s="78">
        <f t="shared" si="6"/>
        <v>0</v>
      </c>
      <c r="P29" s="76"/>
    </row>
    <row r="30" spans="1:16">
      <c r="A30" s="89">
        <f>B10</f>
        <v>0</v>
      </c>
      <c r="B30" s="89"/>
      <c r="C30" s="89">
        <f t="shared" si="5"/>
        <v>0</v>
      </c>
      <c r="D30" s="89">
        <f>K10</f>
        <v>0</v>
      </c>
      <c r="E30" s="78">
        <f>$C$30*$D$30*E23</f>
        <v>0</v>
      </c>
      <c r="F30" s="78">
        <f t="shared" ref="F30:K30" si="7">$C$30*$D$30*F23</f>
        <v>0</v>
      </c>
      <c r="G30" s="78">
        <f t="shared" si="7"/>
        <v>0</v>
      </c>
      <c r="H30" s="78">
        <f t="shared" si="7"/>
        <v>0</v>
      </c>
      <c r="I30" s="78">
        <f t="shared" si="7"/>
        <v>0</v>
      </c>
      <c r="J30" s="78">
        <f t="shared" si="7"/>
        <v>0</v>
      </c>
      <c r="K30" s="78">
        <f t="shared" si="7"/>
        <v>0</v>
      </c>
      <c r="P30" s="76"/>
    </row>
    <row r="31" spans="1:16">
      <c r="A31" s="89">
        <f>B11</f>
        <v>0</v>
      </c>
      <c r="B31" s="89"/>
      <c r="C31" s="89">
        <f t="shared" si="5"/>
        <v>0</v>
      </c>
      <c r="D31" s="89">
        <f>K11</f>
        <v>0</v>
      </c>
      <c r="E31" s="78">
        <f>$C$31*$D$31*E23</f>
        <v>0</v>
      </c>
      <c r="F31" s="78">
        <f t="shared" ref="F31:K31" si="8">$C$31*$D$31*F23</f>
        <v>0</v>
      </c>
      <c r="G31" s="78">
        <f t="shared" si="8"/>
        <v>0</v>
      </c>
      <c r="H31" s="78">
        <f t="shared" si="8"/>
        <v>0</v>
      </c>
      <c r="I31" s="78">
        <f t="shared" si="8"/>
        <v>0</v>
      </c>
      <c r="J31" s="78">
        <f t="shared" si="8"/>
        <v>0</v>
      </c>
      <c r="K31" s="78">
        <f t="shared" si="8"/>
        <v>0</v>
      </c>
      <c r="P31" s="76"/>
    </row>
    <row r="32" spans="1:16">
      <c r="A32" s="89">
        <f>B12</f>
        <v>0</v>
      </c>
      <c r="B32" s="89"/>
      <c r="C32" s="89">
        <f t="shared" si="5"/>
        <v>0</v>
      </c>
      <c r="D32" s="89">
        <f>K12</f>
        <v>0</v>
      </c>
      <c r="E32" s="78">
        <f>$C$32*$D$32*E23</f>
        <v>0</v>
      </c>
      <c r="F32" s="78">
        <f t="shared" ref="F32:K32" si="9">$C$32*$D$32*F23</f>
        <v>0</v>
      </c>
      <c r="G32" s="78">
        <f t="shared" si="9"/>
        <v>0</v>
      </c>
      <c r="H32" s="78">
        <f t="shared" si="9"/>
        <v>0</v>
      </c>
      <c r="I32" s="78">
        <f t="shared" si="9"/>
        <v>0</v>
      </c>
      <c r="J32" s="78">
        <f t="shared" si="9"/>
        <v>0</v>
      </c>
      <c r="K32" s="78">
        <f t="shared" si="9"/>
        <v>0</v>
      </c>
      <c r="P32" s="76"/>
    </row>
    <row r="33" spans="1:16">
      <c r="A33" s="89"/>
      <c r="B33" s="89"/>
      <c r="C33" s="89">
        <f t="shared" si="5"/>
        <v>0</v>
      </c>
      <c r="D33" s="89">
        <f t="shared" ref="D33:D38" si="10">K13</f>
        <v>0</v>
      </c>
      <c r="E33" s="78">
        <f>$C$33*$D$33*E23</f>
        <v>0</v>
      </c>
      <c r="F33" s="78">
        <f t="shared" ref="F33:K33" si="11">$C$33*$D$33*F23</f>
        <v>0</v>
      </c>
      <c r="G33" s="78">
        <f t="shared" si="11"/>
        <v>0</v>
      </c>
      <c r="H33" s="78">
        <f t="shared" si="11"/>
        <v>0</v>
      </c>
      <c r="I33" s="78">
        <f t="shared" si="11"/>
        <v>0</v>
      </c>
      <c r="J33" s="78">
        <f t="shared" si="11"/>
        <v>0</v>
      </c>
      <c r="K33" s="78">
        <f t="shared" si="11"/>
        <v>0</v>
      </c>
      <c r="P33" s="76"/>
    </row>
    <row r="34" spans="1:16">
      <c r="A34" s="89"/>
      <c r="B34" s="89"/>
      <c r="C34" s="89">
        <f t="shared" si="5"/>
        <v>0</v>
      </c>
      <c r="D34" s="89">
        <f t="shared" si="10"/>
        <v>0</v>
      </c>
      <c r="E34" s="78">
        <f>$C$34*$D$34*E23</f>
        <v>0</v>
      </c>
      <c r="F34" s="78">
        <f t="shared" ref="F34:K34" si="12">$C$34*$D$34*F23</f>
        <v>0</v>
      </c>
      <c r="G34" s="78">
        <f t="shared" si="12"/>
        <v>0</v>
      </c>
      <c r="H34" s="78">
        <f t="shared" si="12"/>
        <v>0</v>
      </c>
      <c r="I34" s="78">
        <f t="shared" si="12"/>
        <v>0</v>
      </c>
      <c r="J34" s="78">
        <f t="shared" si="12"/>
        <v>0</v>
      </c>
      <c r="K34" s="78">
        <f t="shared" si="12"/>
        <v>0</v>
      </c>
      <c r="P34" s="76"/>
    </row>
    <row r="35" spans="1:16">
      <c r="A35" s="89"/>
      <c r="B35" s="89"/>
      <c r="C35" s="89">
        <f t="shared" si="5"/>
        <v>0</v>
      </c>
      <c r="D35" s="89">
        <f t="shared" si="10"/>
        <v>0</v>
      </c>
      <c r="E35" s="78">
        <f>$C$35*$D$35*E23</f>
        <v>0</v>
      </c>
      <c r="F35" s="78">
        <f t="shared" ref="F35:K35" si="13">$C$35*$D$35*F23</f>
        <v>0</v>
      </c>
      <c r="G35" s="78">
        <f t="shared" si="13"/>
        <v>0</v>
      </c>
      <c r="H35" s="78">
        <f t="shared" si="13"/>
        <v>0</v>
      </c>
      <c r="I35" s="78">
        <f t="shared" si="13"/>
        <v>0</v>
      </c>
      <c r="J35" s="78">
        <f t="shared" si="13"/>
        <v>0</v>
      </c>
      <c r="K35" s="78">
        <f t="shared" si="13"/>
        <v>0</v>
      </c>
      <c r="P35" s="76"/>
    </row>
    <row r="36" spans="1:16">
      <c r="A36" s="89"/>
      <c r="B36" s="89"/>
      <c r="C36" s="89">
        <f t="shared" si="5"/>
        <v>0</v>
      </c>
      <c r="D36" s="89">
        <f t="shared" si="10"/>
        <v>0</v>
      </c>
      <c r="E36" s="78">
        <f>$C$36*$D$36*E23</f>
        <v>0</v>
      </c>
      <c r="F36" s="78">
        <f t="shared" ref="F36:K36" si="14">$C$36*$D$36*F23</f>
        <v>0</v>
      </c>
      <c r="G36" s="78">
        <f t="shared" si="14"/>
        <v>0</v>
      </c>
      <c r="H36" s="78">
        <f t="shared" si="14"/>
        <v>0</v>
      </c>
      <c r="I36" s="78">
        <f t="shared" si="14"/>
        <v>0</v>
      </c>
      <c r="J36" s="78">
        <f t="shared" si="14"/>
        <v>0</v>
      </c>
      <c r="K36" s="78">
        <f t="shared" si="14"/>
        <v>0</v>
      </c>
      <c r="P36" s="76"/>
    </row>
    <row r="37" spans="1:16">
      <c r="A37" s="89"/>
      <c r="B37" s="89"/>
      <c r="C37" s="89">
        <f t="shared" si="5"/>
        <v>0</v>
      </c>
      <c r="D37" s="89">
        <f t="shared" si="10"/>
        <v>0</v>
      </c>
      <c r="E37" s="78">
        <f>$C$37*$D$37*E23</f>
        <v>0</v>
      </c>
      <c r="F37" s="78">
        <f t="shared" ref="F37:K37" si="15">$C$37*$D$37*F23</f>
        <v>0</v>
      </c>
      <c r="G37" s="78">
        <f t="shared" si="15"/>
        <v>0</v>
      </c>
      <c r="H37" s="78">
        <f t="shared" si="15"/>
        <v>0</v>
      </c>
      <c r="I37" s="78">
        <f t="shared" si="15"/>
        <v>0</v>
      </c>
      <c r="J37" s="78">
        <f t="shared" si="15"/>
        <v>0</v>
      </c>
      <c r="K37" s="78">
        <f t="shared" si="15"/>
        <v>0</v>
      </c>
      <c r="P37" s="76"/>
    </row>
    <row r="38" spans="1:16">
      <c r="A38" s="79"/>
      <c r="B38" s="79"/>
      <c r="C38" s="89">
        <f t="shared" si="5"/>
        <v>0</v>
      </c>
      <c r="D38" s="89">
        <f t="shared" si="10"/>
        <v>0</v>
      </c>
      <c r="E38" s="78">
        <f>$C$38*$D$38*E23</f>
        <v>0</v>
      </c>
      <c r="F38" s="78">
        <f t="shared" ref="F38:K38" si="16">$C$38*$D$38*F23</f>
        <v>0</v>
      </c>
      <c r="G38" s="78">
        <f t="shared" si="16"/>
        <v>0</v>
      </c>
      <c r="H38" s="78">
        <f t="shared" si="16"/>
        <v>0</v>
      </c>
      <c r="I38" s="78">
        <f t="shared" si="16"/>
        <v>0</v>
      </c>
      <c r="J38" s="78">
        <f t="shared" si="16"/>
        <v>0</v>
      </c>
      <c r="K38" s="78">
        <f t="shared" si="16"/>
        <v>0</v>
      </c>
      <c r="P38" s="76"/>
    </row>
    <row r="39" spans="1:16">
      <c r="A39" s="79" t="s">
        <v>144</v>
      </c>
      <c r="B39" s="79"/>
      <c r="C39" s="79"/>
      <c r="D39" s="79"/>
      <c r="E39" s="78">
        <f>SUM(E28:E38)</f>
        <v>0</v>
      </c>
      <c r="F39" s="78">
        <f t="shared" ref="F39:K39" si="17">SUM(F28:F38)</f>
        <v>0</v>
      </c>
      <c r="G39" s="78">
        <f t="shared" si="17"/>
        <v>0</v>
      </c>
      <c r="H39" s="78">
        <f t="shared" si="17"/>
        <v>0</v>
      </c>
      <c r="I39" s="78">
        <f t="shared" si="17"/>
        <v>0</v>
      </c>
      <c r="J39" s="78">
        <f t="shared" si="17"/>
        <v>0</v>
      </c>
      <c r="K39" s="78">
        <f t="shared" si="17"/>
        <v>0</v>
      </c>
      <c r="P39" s="76"/>
    </row>
    <row r="40" spans="1:16">
      <c r="A40" s="77"/>
      <c r="B40" s="77"/>
      <c r="C40" s="77"/>
      <c r="D40" s="77"/>
      <c r="E40" s="78"/>
      <c r="F40" s="78"/>
      <c r="G40" s="78"/>
      <c r="H40" s="78"/>
      <c r="I40" s="78"/>
      <c r="J40" s="78"/>
      <c r="K40" s="78"/>
      <c r="P40" s="76"/>
    </row>
    <row r="41" spans="1:16">
      <c r="A41" s="79" t="s">
        <v>143</v>
      </c>
      <c r="B41" s="79"/>
      <c r="C41" s="79"/>
      <c r="D41" s="79"/>
      <c r="E41" s="78"/>
      <c r="F41" s="78"/>
      <c r="G41" s="78"/>
      <c r="H41" s="78"/>
      <c r="I41" s="78"/>
      <c r="J41" s="78"/>
      <c r="K41" s="78"/>
      <c r="P41" s="76"/>
    </row>
    <row r="42" spans="1:16">
      <c r="A42" s="79" t="s">
        <v>307</v>
      </c>
      <c r="B42" s="79"/>
      <c r="C42" s="79"/>
      <c r="D42" s="79"/>
      <c r="E42" s="78"/>
      <c r="F42" s="78"/>
      <c r="G42" s="78"/>
      <c r="H42" s="78"/>
      <c r="I42" s="78"/>
      <c r="J42" s="78"/>
      <c r="K42" s="78"/>
    </row>
    <row r="43" spans="1:16">
      <c r="A43" s="77" t="s">
        <v>308</v>
      </c>
      <c r="B43" s="77" t="s">
        <v>448</v>
      </c>
      <c r="C43" s="77">
        <f>SUM(J8:J17)</f>
        <v>0</v>
      </c>
      <c r="D43" s="201">
        <v>110</v>
      </c>
      <c r="E43" s="78">
        <f>$C$43*$D$43*E23</f>
        <v>0</v>
      </c>
      <c r="F43" s="78">
        <f t="shared" ref="F43:K43" si="18">$C$43*$D$43*F23</f>
        <v>0</v>
      </c>
      <c r="G43" s="78">
        <f t="shared" si="18"/>
        <v>0</v>
      </c>
      <c r="H43" s="78">
        <f t="shared" si="18"/>
        <v>0</v>
      </c>
      <c r="I43" s="78">
        <f t="shared" si="18"/>
        <v>0</v>
      </c>
      <c r="J43" s="78">
        <f t="shared" si="18"/>
        <v>0</v>
      </c>
      <c r="K43" s="78">
        <f t="shared" si="18"/>
        <v>0</v>
      </c>
    </row>
    <row r="44" spans="1:16">
      <c r="A44" s="77" t="s">
        <v>309</v>
      </c>
      <c r="B44" s="77" t="s">
        <v>450</v>
      </c>
      <c r="C44" s="77">
        <f>SUM(M8:M17)</f>
        <v>0</v>
      </c>
      <c r="D44" s="201">
        <v>300</v>
      </c>
      <c r="E44" s="78">
        <f>$C$44*$D$44*E23</f>
        <v>0</v>
      </c>
      <c r="F44" s="78">
        <f t="shared" ref="F44:K44" si="19">$C$44*$D$44*F23</f>
        <v>0</v>
      </c>
      <c r="G44" s="78">
        <f t="shared" si="19"/>
        <v>0</v>
      </c>
      <c r="H44" s="78">
        <f t="shared" si="19"/>
        <v>0</v>
      </c>
      <c r="I44" s="78">
        <f t="shared" si="19"/>
        <v>0</v>
      </c>
      <c r="J44" s="78">
        <f t="shared" si="19"/>
        <v>0</v>
      </c>
      <c r="K44" s="78">
        <f t="shared" si="19"/>
        <v>0</v>
      </c>
    </row>
    <row r="45" spans="1:16">
      <c r="A45" s="77"/>
      <c r="B45" s="77"/>
      <c r="C45" s="201"/>
      <c r="D45" s="201"/>
      <c r="E45" s="78"/>
      <c r="F45" s="78"/>
      <c r="G45" s="78"/>
      <c r="H45" s="78"/>
      <c r="I45" s="78"/>
      <c r="J45" s="78"/>
      <c r="K45" s="78"/>
    </row>
    <row r="46" spans="1:16">
      <c r="A46" s="77"/>
      <c r="B46" s="77"/>
      <c r="C46" s="201"/>
      <c r="D46" s="201"/>
      <c r="E46" s="78"/>
      <c r="F46" s="78"/>
      <c r="G46" s="78"/>
      <c r="H46" s="78"/>
      <c r="I46" s="78"/>
      <c r="J46" s="78"/>
      <c r="K46" s="78"/>
    </row>
    <row r="47" spans="1:16">
      <c r="A47" s="77"/>
      <c r="B47" s="77"/>
      <c r="C47" s="201"/>
      <c r="D47" s="201"/>
      <c r="E47" s="78"/>
      <c r="F47" s="78"/>
      <c r="G47" s="78"/>
      <c r="H47" s="78"/>
      <c r="I47" s="78"/>
      <c r="J47" s="78"/>
      <c r="K47" s="78"/>
    </row>
    <row r="48" spans="1:16">
      <c r="A48" s="77"/>
      <c r="B48" s="77"/>
      <c r="C48" s="201"/>
      <c r="D48" s="201"/>
      <c r="E48" s="78"/>
      <c r="F48" s="78"/>
      <c r="G48" s="78"/>
      <c r="H48" s="78"/>
      <c r="I48" s="78"/>
      <c r="J48" s="78"/>
      <c r="K48" s="78"/>
    </row>
    <row r="49" spans="1:12">
      <c r="A49" s="79" t="s">
        <v>322</v>
      </c>
      <c r="B49" s="79"/>
      <c r="C49" s="206"/>
      <c r="D49" s="206"/>
      <c r="E49" s="95">
        <f>SUM(E43:E48)</f>
        <v>0</v>
      </c>
      <c r="F49" s="95">
        <f t="shared" ref="F49:K49" si="20">SUM(F43:F48)</f>
        <v>0</v>
      </c>
      <c r="G49" s="95">
        <f t="shared" si="20"/>
        <v>0</v>
      </c>
      <c r="H49" s="95">
        <f t="shared" si="20"/>
        <v>0</v>
      </c>
      <c r="I49" s="95">
        <f t="shared" si="20"/>
        <v>0</v>
      </c>
      <c r="J49" s="95">
        <f t="shared" si="20"/>
        <v>0</v>
      </c>
      <c r="K49" s="95">
        <f t="shared" si="20"/>
        <v>0</v>
      </c>
    </row>
    <row r="50" spans="1:12">
      <c r="A50" s="79"/>
      <c r="B50" s="79"/>
      <c r="C50" s="206"/>
      <c r="D50" s="206"/>
      <c r="E50" s="95"/>
      <c r="F50" s="95"/>
      <c r="G50" s="95"/>
      <c r="H50" s="95"/>
      <c r="I50" s="95"/>
      <c r="J50" s="95"/>
      <c r="K50" s="95"/>
    </row>
    <row r="51" spans="1:12">
      <c r="A51" s="170" t="s">
        <v>310</v>
      </c>
      <c r="B51" s="170"/>
      <c r="C51" s="227"/>
      <c r="D51" s="227"/>
      <c r="E51" s="78"/>
      <c r="F51" s="78"/>
      <c r="G51" s="78"/>
      <c r="H51" s="78"/>
      <c r="I51" s="78"/>
      <c r="J51" s="78"/>
      <c r="K51" s="78"/>
    </row>
    <row r="52" spans="1:12">
      <c r="A52" s="89" t="s">
        <v>311</v>
      </c>
      <c r="B52" s="77" t="s">
        <v>396</v>
      </c>
      <c r="C52" s="227">
        <v>2</v>
      </c>
      <c r="D52" s="228">
        <v>0</v>
      </c>
      <c r="E52" s="78">
        <f t="shared" ref="E52:K52" si="21">$C$52*$D$52*12*E23</f>
        <v>0</v>
      </c>
      <c r="F52" s="78">
        <f t="shared" si="21"/>
        <v>0</v>
      </c>
      <c r="G52" s="78">
        <f t="shared" si="21"/>
        <v>0</v>
      </c>
      <c r="H52" s="78">
        <f t="shared" si="21"/>
        <v>0</v>
      </c>
      <c r="I52" s="78">
        <f t="shared" si="21"/>
        <v>0</v>
      </c>
      <c r="J52" s="78">
        <f t="shared" si="21"/>
        <v>0</v>
      </c>
      <c r="K52" s="78">
        <f t="shared" si="21"/>
        <v>0</v>
      </c>
    </row>
    <row r="53" spans="1:12">
      <c r="A53" s="89"/>
      <c r="B53" s="89"/>
      <c r="C53" s="227"/>
      <c r="D53" s="228"/>
      <c r="E53" s="78"/>
      <c r="F53" s="78"/>
      <c r="G53" s="78"/>
      <c r="H53" s="78"/>
      <c r="I53" s="78"/>
      <c r="J53" s="78"/>
      <c r="K53" s="78"/>
    </row>
    <row r="54" spans="1:12">
      <c r="A54" s="89"/>
      <c r="B54" s="89"/>
      <c r="C54" s="227"/>
      <c r="D54" s="228"/>
      <c r="E54" s="78"/>
      <c r="F54" s="78"/>
      <c r="G54" s="78"/>
      <c r="H54" s="78"/>
      <c r="I54" s="78"/>
      <c r="J54" s="78"/>
      <c r="K54" s="78"/>
    </row>
    <row r="55" spans="1:12">
      <c r="A55" s="89"/>
      <c r="B55" s="89"/>
      <c r="C55" s="227"/>
      <c r="D55" s="228"/>
      <c r="E55" s="78"/>
      <c r="F55" s="78"/>
      <c r="G55" s="78"/>
      <c r="H55" s="78"/>
      <c r="I55" s="78"/>
      <c r="J55" s="78"/>
      <c r="K55" s="78"/>
    </row>
    <row r="56" spans="1:12">
      <c r="A56" s="79" t="s">
        <v>326</v>
      </c>
      <c r="B56" s="79"/>
      <c r="C56" s="79"/>
      <c r="D56" s="79"/>
      <c r="E56" s="95">
        <f>SUM(E52:E55)</f>
        <v>0</v>
      </c>
      <c r="F56" s="95">
        <f t="shared" ref="F56:K56" si="22">SUM(F52:F55)</f>
        <v>0</v>
      </c>
      <c r="G56" s="95">
        <f t="shared" si="22"/>
        <v>0</v>
      </c>
      <c r="H56" s="95">
        <f t="shared" si="22"/>
        <v>0</v>
      </c>
      <c r="I56" s="95">
        <f t="shared" si="22"/>
        <v>0</v>
      </c>
      <c r="J56" s="95">
        <f t="shared" si="22"/>
        <v>0</v>
      </c>
      <c r="K56" s="95">
        <f t="shared" si="22"/>
        <v>0</v>
      </c>
    </row>
    <row r="57" spans="1:12">
      <c r="A57" s="79" t="s">
        <v>130</v>
      </c>
      <c r="B57" s="79"/>
      <c r="C57" s="79"/>
      <c r="D57" s="79"/>
      <c r="E57" s="95">
        <f>E49+E56</f>
        <v>0</v>
      </c>
      <c r="F57" s="95">
        <f t="shared" ref="F57:K57" si="23">F49+F56</f>
        <v>0</v>
      </c>
      <c r="G57" s="95">
        <f t="shared" si="23"/>
        <v>0</v>
      </c>
      <c r="H57" s="95">
        <f t="shared" si="23"/>
        <v>0</v>
      </c>
      <c r="I57" s="95">
        <f t="shared" si="23"/>
        <v>0</v>
      </c>
      <c r="J57" s="95">
        <f t="shared" si="23"/>
        <v>0</v>
      </c>
      <c r="K57" s="95">
        <f t="shared" si="23"/>
        <v>0</v>
      </c>
    </row>
    <row r="58" spans="1:12">
      <c r="A58" s="77"/>
      <c r="B58" s="77"/>
      <c r="C58" s="77"/>
      <c r="D58" s="77"/>
      <c r="E58" s="78"/>
      <c r="F58" s="78"/>
      <c r="G58" s="78"/>
      <c r="H58" s="78"/>
      <c r="I58" s="78"/>
      <c r="J58" s="78"/>
      <c r="K58" s="78"/>
    </row>
    <row r="59" spans="1:12">
      <c r="A59" s="79" t="s">
        <v>314</v>
      </c>
      <c r="B59" s="79"/>
      <c r="C59" s="79"/>
      <c r="D59" s="79"/>
      <c r="E59" s="95">
        <f t="shared" ref="E59:K59" si="24">E39-E57</f>
        <v>0</v>
      </c>
      <c r="F59" s="95">
        <f t="shared" si="24"/>
        <v>0</v>
      </c>
      <c r="G59" s="95">
        <f t="shared" si="24"/>
        <v>0</v>
      </c>
      <c r="H59" s="95">
        <f t="shared" si="24"/>
        <v>0</v>
      </c>
      <c r="I59" s="95">
        <f t="shared" si="24"/>
        <v>0</v>
      </c>
      <c r="J59" s="95">
        <f t="shared" si="24"/>
        <v>0</v>
      </c>
      <c r="K59" s="95">
        <f t="shared" si="24"/>
        <v>0</v>
      </c>
    </row>
    <row r="60" spans="1:12">
      <c r="A60" s="96"/>
      <c r="B60" s="96"/>
      <c r="C60" s="96"/>
      <c r="D60" s="96"/>
      <c r="E60" s="243"/>
      <c r="F60" s="243"/>
      <c r="G60" s="243"/>
      <c r="H60" s="243"/>
      <c r="I60" s="243"/>
      <c r="J60" s="243"/>
      <c r="K60" s="243"/>
    </row>
    <row r="61" spans="1:12">
      <c r="A61" s="76"/>
      <c r="B61" s="76"/>
      <c r="C61" s="96"/>
      <c r="D61" s="96"/>
      <c r="E61" s="243"/>
      <c r="F61" s="243"/>
      <c r="G61" s="243"/>
      <c r="H61" s="243"/>
      <c r="I61" s="243"/>
      <c r="J61" s="243"/>
      <c r="K61" s="243"/>
    </row>
    <row r="62" spans="1:12">
      <c r="A62" s="364" t="s">
        <v>428</v>
      </c>
      <c r="B62" s="364"/>
      <c r="C62" s="364"/>
      <c r="D62" s="364"/>
      <c r="E62" s="364"/>
      <c r="F62" s="364"/>
      <c r="G62" s="364"/>
      <c r="H62" s="364"/>
      <c r="I62" s="364"/>
      <c r="J62" s="364"/>
      <c r="K62" s="364"/>
      <c r="L62" s="364"/>
    </row>
    <row r="65" spans="1:2">
      <c r="A65" t="s">
        <v>542</v>
      </c>
    </row>
    <row r="66" spans="1:2">
      <c r="A66">
        <v>1</v>
      </c>
      <c r="B66" t="s">
        <v>555</v>
      </c>
    </row>
    <row r="67" spans="1:2">
      <c r="A67">
        <v>2</v>
      </c>
      <c r="B67" t="s">
        <v>556</v>
      </c>
    </row>
    <row r="68" spans="1:2">
      <c r="A68">
        <v>3</v>
      </c>
      <c r="B68" s="76" t="s">
        <v>606</v>
      </c>
    </row>
  </sheetData>
  <mergeCells count="4">
    <mergeCell ref="A21:K21"/>
    <mergeCell ref="A3:L3"/>
    <mergeCell ref="A62:L62"/>
    <mergeCell ref="A4:L4"/>
  </mergeCells>
  <pageMargins left="0.7" right="0.7" top="0.75" bottom="0.75" header="0.3" footer="0.3"/>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zoomScale="80" zoomScaleSheetLayoutView="80" workbookViewId="0"/>
  </sheetViews>
  <sheetFormatPr defaultRowHeight="15"/>
  <cols>
    <col min="1" max="1" width="41.140625" bestFit="1" customWidth="1"/>
    <col min="2" max="2" width="4.42578125" bestFit="1" customWidth="1"/>
    <col min="3" max="3" width="11.5703125" customWidth="1"/>
    <col min="4" max="4" width="15.42578125"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62" t="s">
        <v>599</v>
      </c>
      <c r="B2" s="362"/>
      <c r="C2" s="362"/>
      <c r="D2" s="362"/>
      <c r="E2" s="362"/>
      <c r="F2" s="362"/>
      <c r="G2" s="362"/>
      <c r="H2" s="362"/>
      <c r="I2" s="362"/>
    </row>
    <row r="4" spans="1:9">
      <c r="A4" s="76"/>
      <c r="B4" s="76"/>
      <c r="C4" s="76"/>
      <c r="D4" s="76"/>
      <c r="E4" s="76"/>
      <c r="F4" s="76"/>
      <c r="G4" s="76"/>
      <c r="H4" s="76"/>
      <c r="I4" s="76"/>
    </row>
    <row r="5" spans="1:9">
      <c r="A5" s="76"/>
      <c r="B5" s="76"/>
      <c r="C5" s="76"/>
      <c r="D5" s="76"/>
      <c r="E5" s="76"/>
      <c r="F5" s="76"/>
      <c r="G5" s="76"/>
      <c r="H5" s="76"/>
      <c r="I5" s="76"/>
    </row>
    <row r="6" spans="1:9">
      <c r="A6" s="128" t="s">
        <v>128</v>
      </c>
      <c r="B6" s="128"/>
      <c r="C6" s="100" t="s">
        <v>2</v>
      </c>
      <c r="D6" s="100" t="s">
        <v>3</v>
      </c>
      <c r="E6" s="100" t="s">
        <v>4</v>
      </c>
      <c r="F6" s="100" t="s">
        <v>5</v>
      </c>
      <c r="G6" s="100" t="s">
        <v>6</v>
      </c>
      <c r="H6" s="100" t="s">
        <v>169</v>
      </c>
      <c r="I6" s="100" t="s">
        <v>168</v>
      </c>
    </row>
    <row r="7" spans="1:9">
      <c r="A7" s="79" t="s">
        <v>558</v>
      </c>
      <c r="B7" s="77"/>
      <c r="C7" s="77"/>
      <c r="D7" s="77"/>
      <c r="E7" s="77"/>
      <c r="F7" s="77"/>
      <c r="G7" s="77"/>
      <c r="H7" s="77"/>
      <c r="I7" s="77"/>
    </row>
    <row r="8" spans="1:9">
      <c r="A8" s="79" t="s">
        <v>178</v>
      </c>
      <c r="B8" s="175"/>
      <c r="C8" s="226"/>
      <c r="D8" s="226"/>
      <c r="E8" s="226"/>
      <c r="F8" s="226"/>
      <c r="G8" s="226"/>
      <c r="H8" s="226"/>
      <c r="I8" s="226"/>
    </row>
    <row r="9" spans="1:9">
      <c r="A9" s="77" t="str">
        <f>'10.Grain Production details'!A92</f>
        <v>Soybean</v>
      </c>
      <c r="B9" s="175"/>
      <c r="C9" s="226">
        <f>'10.Grain Production details'!B92</f>
        <v>0</v>
      </c>
      <c r="D9" s="226">
        <f>'10.Grain Production details'!C92</f>
        <v>0</v>
      </c>
      <c r="E9" s="226">
        <f>'10.Grain Production details'!D92</f>
        <v>0</v>
      </c>
      <c r="F9" s="226">
        <f>'10.Grain Production details'!E92</f>
        <v>0</v>
      </c>
      <c r="G9" s="226">
        <f>'10.Grain Production details'!F92</f>
        <v>0</v>
      </c>
      <c r="H9" s="226">
        <f>'10.Grain Production details'!G92</f>
        <v>0</v>
      </c>
      <c r="I9" s="226">
        <f>'10.Grain Production details'!H92</f>
        <v>0</v>
      </c>
    </row>
    <row r="10" spans="1:9">
      <c r="A10" s="77" t="str">
        <f>'10.Grain Production details'!A93</f>
        <v>Red Gram/Tur</v>
      </c>
      <c r="B10" s="175"/>
      <c r="C10" s="226">
        <f>'10.Grain Production details'!B93</f>
        <v>0</v>
      </c>
      <c r="D10" s="226">
        <f>'10.Grain Production details'!C93</f>
        <v>0</v>
      </c>
      <c r="E10" s="226">
        <f>'10.Grain Production details'!D93</f>
        <v>0</v>
      </c>
      <c r="F10" s="226">
        <f>'10.Grain Production details'!E93</f>
        <v>0</v>
      </c>
      <c r="G10" s="226">
        <f>'10.Grain Production details'!F93</f>
        <v>0</v>
      </c>
      <c r="H10" s="226">
        <f>'10.Grain Production details'!G93</f>
        <v>0</v>
      </c>
      <c r="I10" s="226">
        <f>'10.Grain Production details'!H93</f>
        <v>0</v>
      </c>
    </row>
    <row r="11" spans="1:9">
      <c r="A11" s="77" t="str">
        <f>'10.Grain Production details'!A94</f>
        <v>Paddy/Rice</v>
      </c>
      <c r="B11" s="175"/>
      <c r="C11" s="226">
        <f>'10.Grain Production details'!B94</f>
        <v>0</v>
      </c>
      <c r="D11" s="226">
        <f>'10.Grain Production details'!C94</f>
        <v>0</v>
      </c>
      <c r="E11" s="226">
        <f>'10.Grain Production details'!D94</f>
        <v>0</v>
      </c>
      <c r="F11" s="226">
        <f>'10.Grain Production details'!E94</f>
        <v>0</v>
      </c>
      <c r="G11" s="226">
        <f>'10.Grain Production details'!F94</f>
        <v>0</v>
      </c>
      <c r="H11" s="226">
        <f>'10.Grain Production details'!G94</f>
        <v>0</v>
      </c>
      <c r="I11" s="226">
        <f>'10.Grain Production details'!H94</f>
        <v>0</v>
      </c>
    </row>
    <row r="12" spans="1:9">
      <c r="A12" s="77" t="str">
        <f>'10.Grain Production details'!A95</f>
        <v>Green Gram/ Moong</v>
      </c>
      <c r="B12" s="175"/>
      <c r="C12" s="226">
        <f>'10.Grain Production details'!B95</f>
        <v>0</v>
      </c>
      <c r="D12" s="226">
        <f>'10.Grain Production details'!C95</f>
        <v>0</v>
      </c>
      <c r="E12" s="226">
        <f>'10.Grain Production details'!D95</f>
        <v>0</v>
      </c>
      <c r="F12" s="226">
        <f>'10.Grain Production details'!E95</f>
        <v>0</v>
      </c>
      <c r="G12" s="226">
        <f>'10.Grain Production details'!F95</f>
        <v>0</v>
      </c>
      <c r="H12" s="226">
        <f>'10.Grain Production details'!G95</f>
        <v>0</v>
      </c>
      <c r="I12" s="226">
        <f>'10.Grain Production details'!H95</f>
        <v>0</v>
      </c>
    </row>
    <row r="13" spans="1:9">
      <c r="A13" s="77" t="str">
        <f>'10.Grain Production details'!A96</f>
        <v>Maize</v>
      </c>
      <c r="B13" s="175"/>
      <c r="C13" s="226">
        <f>'10.Grain Production details'!B96</f>
        <v>0</v>
      </c>
      <c r="D13" s="226">
        <f>'10.Grain Production details'!C96</f>
        <v>0</v>
      </c>
      <c r="E13" s="226">
        <f>'10.Grain Production details'!D96</f>
        <v>0</v>
      </c>
      <c r="F13" s="226">
        <f>'10.Grain Production details'!E96</f>
        <v>0</v>
      </c>
      <c r="G13" s="226">
        <f>'10.Grain Production details'!F96</f>
        <v>0</v>
      </c>
      <c r="H13" s="226">
        <f>'10.Grain Production details'!G96</f>
        <v>0</v>
      </c>
      <c r="I13" s="226">
        <f>'10.Grain Production details'!H96</f>
        <v>0</v>
      </c>
    </row>
    <row r="14" spans="1:9">
      <c r="A14" s="77" t="str">
        <f>'10.Grain Production details'!A97</f>
        <v>Black Gram/Udid</v>
      </c>
      <c r="B14" s="175"/>
      <c r="C14" s="226">
        <f>'10.Grain Production details'!B97</f>
        <v>0</v>
      </c>
      <c r="D14" s="226">
        <f>'10.Grain Production details'!C97</f>
        <v>0</v>
      </c>
      <c r="E14" s="226">
        <f>'10.Grain Production details'!D97</f>
        <v>0</v>
      </c>
      <c r="F14" s="226">
        <f>'10.Grain Production details'!E97</f>
        <v>0</v>
      </c>
      <c r="G14" s="226">
        <f>'10.Grain Production details'!F97</f>
        <v>0</v>
      </c>
      <c r="H14" s="226">
        <f>'10.Grain Production details'!G97</f>
        <v>0</v>
      </c>
      <c r="I14" s="226">
        <f>'10.Grain Production details'!H97</f>
        <v>0</v>
      </c>
    </row>
    <row r="15" spans="1:9">
      <c r="A15" s="77" t="str">
        <f>'10.Grain Production details'!A98</f>
        <v>Bajra</v>
      </c>
      <c r="B15" s="175"/>
      <c r="C15" s="226">
        <f>'10.Grain Production details'!B98</f>
        <v>0</v>
      </c>
      <c r="D15" s="226">
        <f>'10.Grain Production details'!C98</f>
        <v>0</v>
      </c>
      <c r="E15" s="226">
        <f>'10.Grain Production details'!D98</f>
        <v>0</v>
      </c>
      <c r="F15" s="226">
        <f>'10.Grain Production details'!E98</f>
        <v>0</v>
      </c>
      <c r="G15" s="226">
        <f>'10.Grain Production details'!F98</f>
        <v>0</v>
      </c>
      <c r="H15" s="226">
        <f>'10.Grain Production details'!G98</f>
        <v>0</v>
      </c>
      <c r="I15" s="226">
        <f>'10.Grain Production details'!H98</f>
        <v>0</v>
      </c>
    </row>
    <row r="16" spans="1:9">
      <c r="A16" s="77" t="str">
        <f>'10.Grain Production details'!A99</f>
        <v>Jawar</v>
      </c>
      <c r="B16" s="175"/>
      <c r="C16" s="226">
        <f>'10.Grain Production details'!B99</f>
        <v>0</v>
      </c>
      <c r="D16" s="226">
        <f>'10.Grain Production details'!C99</f>
        <v>0</v>
      </c>
      <c r="E16" s="226">
        <f>'10.Grain Production details'!D99</f>
        <v>0</v>
      </c>
      <c r="F16" s="226">
        <f>'10.Grain Production details'!E99</f>
        <v>0</v>
      </c>
      <c r="G16" s="226">
        <f>'10.Grain Production details'!F99</f>
        <v>0</v>
      </c>
      <c r="H16" s="226">
        <f>'10.Grain Production details'!G99</f>
        <v>0</v>
      </c>
      <c r="I16" s="226">
        <f>'10.Grain Production details'!H99</f>
        <v>0</v>
      </c>
    </row>
    <row r="17" spans="1:9">
      <c r="A17" s="79" t="s">
        <v>182</v>
      </c>
      <c r="B17" s="175"/>
      <c r="C17" s="226"/>
      <c r="D17" s="226"/>
      <c r="E17" s="226"/>
      <c r="F17" s="226"/>
      <c r="G17" s="226"/>
      <c r="H17" s="226"/>
      <c r="I17" s="226"/>
    </row>
    <row r="18" spans="1:9">
      <c r="A18" s="77" t="str">
        <f>'10.Grain Production details'!A101</f>
        <v>Wheat</v>
      </c>
      <c r="B18" s="175"/>
      <c r="C18" s="226">
        <f>'10.Grain Production details'!B101</f>
        <v>0</v>
      </c>
      <c r="D18" s="226">
        <f>'10.Grain Production details'!C101</f>
        <v>0</v>
      </c>
      <c r="E18" s="226">
        <f>'10.Grain Production details'!D101</f>
        <v>0</v>
      </c>
      <c r="F18" s="226">
        <f>'10.Grain Production details'!E101</f>
        <v>0</v>
      </c>
      <c r="G18" s="226">
        <f>'10.Grain Production details'!F101</f>
        <v>0</v>
      </c>
      <c r="H18" s="226">
        <f>'10.Grain Production details'!G101</f>
        <v>0</v>
      </c>
      <c r="I18" s="226">
        <f>'10.Grain Production details'!H101</f>
        <v>0</v>
      </c>
    </row>
    <row r="19" spans="1:9">
      <c r="A19" s="77" t="str">
        <f>'10.Grain Production details'!A102</f>
        <v>Bengal Gram/Channa</v>
      </c>
      <c r="B19" s="175"/>
      <c r="C19" s="226">
        <f>'10.Grain Production details'!B102</f>
        <v>0</v>
      </c>
      <c r="D19" s="226">
        <f>'10.Grain Production details'!C102</f>
        <v>0</v>
      </c>
      <c r="E19" s="226">
        <f>'10.Grain Production details'!D102</f>
        <v>0</v>
      </c>
      <c r="F19" s="226">
        <f>'10.Grain Production details'!E102</f>
        <v>0</v>
      </c>
      <c r="G19" s="226">
        <f>'10.Grain Production details'!F102</f>
        <v>0</v>
      </c>
      <c r="H19" s="226">
        <f>'10.Grain Production details'!G102</f>
        <v>0</v>
      </c>
      <c r="I19" s="226">
        <f>'10.Grain Production details'!H102</f>
        <v>0</v>
      </c>
    </row>
    <row r="20" spans="1:9">
      <c r="A20" s="77" t="str">
        <f>'10.Grain Production details'!A103</f>
        <v>Jawar</v>
      </c>
      <c r="B20" s="175"/>
      <c r="C20" s="226">
        <f>'10.Grain Production details'!B103</f>
        <v>0</v>
      </c>
      <c r="D20" s="226">
        <f>'10.Grain Production details'!C103</f>
        <v>0</v>
      </c>
      <c r="E20" s="226">
        <f>'10.Grain Production details'!D103</f>
        <v>0</v>
      </c>
      <c r="F20" s="226">
        <f>'10.Grain Production details'!E103</f>
        <v>0</v>
      </c>
      <c r="G20" s="226">
        <f>'10.Grain Production details'!F103</f>
        <v>0</v>
      </c>
      <c r="H20" s="226">
        <f>'10.Grain Production details'!G103</f>
        <v>0</v>
      </c>
      <c r="I20" s="226">
        <f>'10.Grain Production details'!H103</f>
        <v>0</v>
      </c>
    </row>
    <row r="21" spans="1:9">
      <c r="A21" s="77" t="str">
        <f>'10.Grain Production details'!A104</f>
        <v>Maize</v>
      </c>
      <c r="B21" s="175"/>
      <c r="C21" s="226">
        <f>'10.Grain Production details'!B104</f>
        <v>0</v>
      </c>
      <c r="D21" s="226">
        <f>'10.Grain Production details'!C104</f>
        <v>0</v>
      </c>
      <c r="E21" s="226">
        <f>'10.Grain Production details'!D104</f>
        <v>0</v>
      </c>
      <c r="F21" s="226">
        <f>'10.Grain Production details'!E104</f>
        <v>0</v>
      </c>
      <c r="G21" s="226">
        <f>'10.Grain Production details'!F104</f>
        <v>0</v>
      </c>
      <c r="H21" s="226">
        <f>'10.Grain Production details'!G104</f>
        <v>0</v>
      </c>
      <c r="I21" s="226">
        <f>'10.Grain Production details'!H104</f>
        <v>0</v>
      </c>
    </row>
    <row r="22" spans="1:9">
      <c r="A22" s="77" t="str">
        <f>'10.Grain Production details'!A105</f>
        <v>Safflower</v>
      </c>
      <c r="B22" s="175"/>
      <c r="C22" s="226">
        <f>'10.Grain Production details'!B105</f>
        <v>0</v>
      </c>
      <c r="D22" s="226">
        <f>'10.Grain Production details'!C105</f>
        <v>0</v>
      </c>
      <c r="E22" s="226">
        <f>'10.Grain Production details'!D105</f>
        <v>0</v>
      </c>
      <c r="F22" s="226">
        <f>'10.Grain Production details'!E105</f>
        <v>0</v>
      </c>
      <c r="G22" s="226">
        <f>'10.Grain Production details'!F105</f>
        <v>0</v>
      </c>
      <c r="H22" s="226">
        <f>'10.Grain Production details'!G105</f>
        <v>0</v>
      </c>
      <c r="I22" s="226">
        <f>'10.Grain Production details'!H105</f>
        <v>0</v>
      </c>
    </row>
    <row r="23" spans="1:9">
      <c r="A23" s="77">
        <f>'10.Grain Production details'!A106</f>
        <v>0</v>
      </c>
      <c r="B23" s="175"/>
      <c r="C23" s="226">
        <f>'10.Grain Production details'!B106</f>
        <v>0</v>
      </c>
      <c r="D23" s="226">
        <f>'10.Grain Production details'!C106</f>
        <v>0</v>
      </c>
      <c r="E23" s="226">
        <f>'10.Grain Production details'!D106</f>
        <v>0</v>
      </c>
      <c r="F23" s="226">
        <f>'10.Grain Production details'!E106</f>
        <v>0</v>
      </c>
      <c r="G23" s="226">
        <f>'10.Grain Production details'!F106</f>
        <v>0</v>
      </c>
      <c r="H23" s="226">
        <f>'10.Grain Production details'!G106</f>
        <v>0</v>
      </c>
      <c r="I23" s="226">
        <f>'10.Grain Production details'!H106</f>
        <v>0</v>
      </c>
    </row>
    <row r="24" spans="1:9">
      <c r="A24" s="77">
        <f>'10.Grain Production details'!A107</f>
        <v>0</v>
      </c>
      <c r="B24" s="175"/>
      <c r="C24" s="226">
        <f>'10.Grain Production details'!B107</f>
        <v>0</v>
      </c>
      <c r="D24" s="226">
        <f>'10.Grain Production details'!C107</f>
        <v>0</v>
      </c>
      <c r="E24" s="226">
        <f>'10.Grain Production details'!D107</f>
        <v>0</v>
      </c>
      <c r="F24" s="226">
        <f>'10.Grain Production details'!E107</f>
        <v>0</v>
      </c>
      <c r="G24" s="226">
        <f>'10.Grain Production details'!F107</f>
        <v>0</v>
      </c>
      <c r="H24" s="226">
        <f>'10.Grain Production details'!G107</f>
        <v>0</v>
      </c>
      <c r="I24" s="226">
        <f>'10.Grain Production details'!H107</f>
        <v>0</v>
      </c>
    </row>
    <row r="25" spans="1:9">
      <c r="A25" s="77">
        <f>'10.Grain Production details'!A108</f>
        <v>0</v>
      </c>
      <c r="B25" s="175"/>
      <c r="C25" s="226">
        <f>'10.Grain Production details'!B108</f>
        <v>0</v>
      </c>
      <c r="D25" s="226">
        <f>'10.Grain Production details'!C108</f>
        <v>0</v>
      </c>
      <c r="E25" s="226">
        <f>'10.Grain Production details'!D108</f>
        <v>0</v>
      </c>
      <c r="F25" s="226">
        <f>'10.Grain Production details'!E108</f>
        <v>0</v>
      </c>
      <c r="G25" s="226">
        <f>'10.Grain Production details'!F108</f>
        <v>0</v>
      </c>
      <c r="H25" s="226">
        <f>'10.Grain Production details'!G108</f>
        <v>0</v>
      </c>
      <c r="I25" s="226">
        <f>'10.Grain Production details'!H108</f>
        <v>0</v>
      </c>
    </row>
    <row r="26" spans="1:9">
      <c r="A26" s="79" t="str">
        <f>'10.Grain Production details'!A33</f>
        <v>Summer</v>
      </c>
      <c r="B26" s="175"/>
      <c r="C26" s="226"/>
      <c r="D26" s="226"/>
      <c r="E26" s="226"/>
      <c r="F26" s="226"/>
      <c r="G26" s="226"/>
      <c r="H26" s="226"/>
      <c r="I26" s="226"/>
    </row>
    <row r="27" spans="1:9">
      <c r="A27" s="77" t="str">
        <f>'10.Grain Production details'!A109</f>
        <v>Groundnut</v>
      </c>
      <c r="B27" s="175"/>
      <c r="C27" s="226">
        <f>'10.Grain Production details'!B110</f>
        <v>0</v>
      </c>
      <c r="D27" s="226">
        <f>'10.Grain Production details'!C110</f>
        <v>0</v>
      </c>
      <c r="E27" s="226">
        <f>'10.Grain Production details'!D110</f>
        <v>0</v>
      </c>
      <c r="F27" s="226">
        <f>'10.Grain Production details'!E110</f>
        <v>0</v>
      </c>
      <c r="G27" s="226">
        <f>'10.Grain Production details'!F110</f>
        <v>0</v>
      </c>
      <c r="H27" s="226">
        <f>'10.Grain Production details'!G110</f>
        <v>0</v>
      </c>
      <c r="I27" s="226">
        <f>'10.Grain Production details'!H110</f>
        <v>0</v>
      </c>
    </row>
    <row r="28" spans="1:9">
      <c r="A28" s="77">
        <f>'10.Grain Production details'!A110</f>
        <v>0</v>
      </c>
      <c r="B28" s="175"/>
      <c r="C28" s="226">
        <f>'10.Grain Production details'!B111</f>
        <v>0</v>
      </c>
      <c r="D28" s="226">
        <f>'10.Grain Production details'!C111</f>
        <v>0</v>
      </c>
      <c r="E28" s="226">
        <f>'10.Grain Production details'!D111</f>
        <v>0</v>
      </c>
      <c r="F28" s="226">
        <f>'10.Grain Production details'!E111</f>
        <v>0</v>
      </c>
      <c r="G28" s="226">
        <f>'10.Grain Production details'!F111</f>
        <v>0</v>
      </c>
      <c r="H28" s="226">
        <f>'10.Grain Production details'!G111</f>
        <v>0</v>
      </c>
      <c r="I28" s="226">
        <f>'10.Grain Production details'!H111</f>
        <v>0</v>
      </c>
    </row>
    <row r="29" spans="1:9">
      <c r="A29" s="77">
        <f>'10.Grain Production details'!A111</f>
        <v>0</v>
      </c>
      <c r="B29" s="175"/>
      <c r="C29" s="226">
        <f>'10.Grain Production details'!B112</f>
        <v>0</v>
      </c>
      <c r="D29" s="226">
        <f>'10.Grain Production details'!C112</f>
        <v>0</v>
      </c>
      <c r="E29" s="226">
        <f>'10.Grain Production details'!D112</f>
        <v>0</v>
      </c>
      <c r="F29" s="226">
        <f>'10.Grain Production details'!E112</f>
        <v>0</v>
      </c>
      <c r="G29" s="226">
        <f>'10.Grain Production details'!F112</f>
        <v>0</v>
      </c>
      <c r="H29" s="226">
        <f>'10.Grain Production details'!G112</f>
        <v>0</v>
      </c>
      <c r="I29" s="226">
        <f>'10.Grain Production details'!H112</f>
        <v>0</v>
      </c>
    </row>
    <row r="30" spans="1:9">
      <c r="A30" s="77">
        <f>'10.Grain Production details'!A112</f>
        <v>0</v>
      </c>
      <c r="B30" s="175"/>
      <c r="C30" s="226">
        <f>'10.Grain Production details'!B113</f>
        <v>0</v>
      </c>
      <c r="D30" s="226">
        <f>'10.Grain Production details'!C113</f>
        <v>0</v>
      </c>
      <c r="E30" s="226">
        <f>'10.Grain Production details'!D113</f>
        <v>0</v>
      </c>
      <c r="F30" s="226">
        <f>'10.Grain Production details'!E113</f>
        <v>0</v>
      </c>
      <c r="G30" s="226">
        <f>'10.Grain Production details'!F113</f>
        <v>0</v>
      </c>
      <c r="H30" s="226">
        <f>'10.Grain Production details'!G113</f>
        <v>0</v>
      </c>
      <c r="I30" s="226">
        <f>'10.Grain Production details'!H113</f>
        <v>0</v>
      </c>
    </row>
    <row r="31" spans="1:9">
      <c r="A31" s="77">
        <f>'10.Grain Production details'!A113</f>
        <v>0</v>
      </c>
      <c r="B31" s="175"/>
      <c r="C31" s="226">
        <f>'10.Grain Production details'!C114</f>
        <v>0</v>
      </c>
      <c r="D31" s="226">
        <f>'10.Grain Production details'!D114</f>
        <v>0</v>
      </c>
      <c r="E31" s="226">
        <f>'10.Grain Production details'!E114</f>
        <v>0</v>
      </c>
      <c r="F31" s="226">
        <f>'10.Grain Production details'!F114</f>
        <v>0</v>
      </c>
      <c r="G31" s="226">
        <f>'10.Grain Production details'!G114</f>
        <v>0</v>
      </c>
      <c r="H31" s="226">
        <f>'10.Grain Production details'!H114</f>
        <v>0</v>
      </c>
      <c r="I31" s="226">
        <f>'10.Grain Production details'!I114</f>
        <v>0</v>
      </c>
    </row>
    <row r="32" spans="1:9">
      <c r="A32" s="79" t="str">
        <f>'11.F&amp;V Crop Production details'!A1:H1</f>
        <v>Fruit  &amp; Vegetables Crop Production Details</v>
      </c>
      <c r="B32" s="175"/>
      <c r="C32" s="226"/>
      <c r="D32" s="226"/>
      <c r="E32" s="226"/>
      <c r="F32" s="226"/>
      <c r="G32" s="226"/>
      <c r="H32" s="226"/>
      <c r="I32" s="226"/>
    </row>
    <row r="33" spans="1:9">
      <c r="A33" s="77" t="str">
        <f>'11.F&amp;V Crop Production details'!A102</f>
        <v>Onion</v>
      </c>
      <c r="B33" s="175"/>
      <c r="C33" s="226">
        <f>'11.F&amp;V Crop Production details'!B102</f>
        <v>0</v>
      </c>
      <c r="D33" s="226">
        <f>'11.F&amp;V Crop Production details'!C102</f>
        <v>0</v>
      </c>
      <c r="E33" s="226">
        <f>'11.F&amp;V Crop Production details'!D102</f>
        <v>0</v>
      </c>
      <c r="F33" s="226">
        <f>'11.F&amp;V Crop Production details'!E102</f>
        <v>0</v>
      </c>
      <c r="G33" s="226">
        <f>'11.F&amp;V Crop Production details'!F102</f>
        <v>0</v>
      </c>
      <c r="H33" s="226">
        <f>'11.F&amp;V Crop Production details'!G102</f>
        <v>0</v>
      </c>
      <c r="I33" s="226">
        <f>'11.F&amp;V Crop Production details'!H102</f>
        <v>0</v>
      </c>
    </row>
    <row r="34" spans="1:9">
      <c r="A34" s="77" t="str">
        <f>'11.F&amp;V Crop Production details'!A103</f>
        <v>Tomato</v>
      </c>
      <c r="B34" s="175"/>
      <c r="C34" s="226">
        <f>'11.F&amp;V Crop Production details'!B103</f>
        <v>0</v>
      </c>
      <c r="D34" s="226">
        <f>'11.F&amp;V Crop Production details'!C103</f>
        <v>0</v>
      </c>
      <c r="E34" s="226">
        <f>'11.F&amp;V Crop Production details'!D103</f>
        <v>0</v>
      </c>
      <c r="F34" s="226">
        <f>'11.F&amp;V Crop Production details'!E103</f>
        <v>0</v>
      </c>
      <c r="G34" s="226">
        <f>'11.F&amp;V Crop Production details'!F103</f>
        <v>0</v>
      </c>
      <c r="H34" s="226">
        <f>'11.F&amp;V Crop Production details'!G103</f>
        <v>0</v>
      </c>
      <c r="I34" s="226">
        <f>'11.F&amp;V Crop Production details'!H103</f>
        <v>0</v>
      </c>
    </row>
    <row r="35" spans="1:9">
      <c r="A35" s="77" t="str">
        <f>'11.F&amp;V Crop Production details'!A104</f>
        <v>Okra</v>
      </c>
      <c r="B35" s="175"/>
      <c r="C35" s="226">
        <f>'11.F&amp;V Crop Production details'!B104</f>
        <v>0</v>
      </c>
      <c r="D35" s="226">
        <f>'11.F&amp;V Crop Production details'!C104</f>
        <v>0</v>
      </c>
      <c r="E35" s="226">
        <f>'11.F&amp;V Crop Production details'!D104</f>
        <v>0</v>
      </c>
      <c r="F35" s="226">
        <f>'11.F&amp;V Crop Production details'!E104</f>
        <v>0</v>
      </c>
      <c r="G35" s="226">
        <f>'11.F&amp;V Crop Production details'!F104</f>
        <v>0</v>
      </c>
      <c r="H35" s="226">
        <f>'11.F&amp;V Crop Production details'!G104</f>
        <v>0</v>
      </c>
      <c r="I35" s="226">
        <f>'11.F&amp;V Crop Production details'!H104</f>
        <v>0</v>
      </c>
    </row>
    <row r="36" spans="1:9">
      <c r="A36" s="77" t="str">
        <f>'11.F&amp;V Crop Production details'!A105</f>
        <v>Chilli</v>
      </c>
      <c r="B36" s="175"/>
      <c r="C36" s="226">
        <f>'11.F&amp;V Crop Production details'!B105</f>
        <v>0</v>
      </c>
      <c r="D36" s="226">
        <f>'11.F&amp;V Crop Production details'!C105</f>
        <v>0</v>
      </c>
      <c r="E36" s="226">
        <f>'11.F&amp;V Crop Production details'!D105</f>
        <v>0</v>
      </c>
      <c r="F36" s="226">
        <f>'11.F&amp;V Crop Production details'!E105</f>
        <v>0</v>
      </c>
      <c r="G36" s="226">
        <f>'11.F&amp;V Crop Production details'!F105</f>
        <v>0</v>
      </c>
      <c r="H36" s="226">
        <f>'11.F&amp;V Crop Production details'!G105</f>
        <v>0</v>
      </c>
      <c r="I36" s="226">
        <f>'11.F&amp;V Crop Production details'!H105</f>
        <v>0</v>
      </c>
    </row>
    <row r="37" spans="1:9">
      <c r="A37" s="77" t="str">
        <f>'11.F&amp;V Crop Production details'!A106</f>
        <v>Potato</v>
      </c>
      <c r="B37" s="175"/>
      <c r="C37" s="226">
        <f>'11.F&amp;V Crop Production details'!B106</f>
        <v>0</v>
      </c>
      <c r="D37" s="226">
        <f>'11.F&amp;V Crop Production details'!C106</f>
        <v>0</v>
      </c>
      <c r="E37" s="226">
        <f>'11.F&amp;V Crop Production details'!D106</f>
        <v>0</v>
      </c>
      <c r="F37" s="226">
        <f>'11.F&amp;V Crop Production details'!E106</f>
        <v>0</v>
      </c>
      <c r="G37" s="226">
        <f>'11.F&amp;V Crop Production details'!F106</f>
        <v>0</v>
      </c>
      <c r="H37" s="226">
        <f>'11.F&amp;V Crop Production details'!G106</f>
        <v>0</v>
      </c>
      <c r="I37" s="226">
        <f>'11.F&amp;V Crop Production details'!H106</f>
        <v>0</v>
      </c>
    </row>
    <row r="38" spans="1:9">
      <c r="A38" s="77">
        <f>'11.F&amp;V Crop Production details'!A107</f>
        <v>0</v>
      </c>
      <c r="B38" s="175"/>
      <c r="C38" s="226">
        <f>'11.F&amp;V Crop Production details'!B107</f>
        <v>0</v>
      </c>
      <c r="D38" s="226">
        <f>'11.F&amp;V Crop Production details'!C107</f>
        <v>0</v>
      </c>
      <c r="E38" s="226">
        <f>'11.F&amp;V Crop Production details'!D107</f>
        <v>0</v>
      </c>
      <c r="F38" s="226">
        <f>'11.F&amp;V Crop Production details'!E107</f>
        <v>0</v>
      </c>
      <c r="G38" s="226">
        <f>'11.F&amp;V Crop Production details'!F107</f>
        <v>0</v>
      </c>
      <c r="H38" s="226">
        <f>'11.F&amp;V Crop Production details'!G107</f>
        <v>0</v>
      </c>
      <c r="I38" s="226">
        <f>'11.F&amp;V Crop Production details'!H107</f>
        <v>0</v>
      </c>
    </row>
    <row r="39" spans="1:9">
      <c r="A39" s="77">
        <f>'11.F&amp;V Crop Production details'!A108</f>
        <v>0</v>
      </c>
      <c r="B39" s="175"/>
      <c r="C39" s="226">
        <f>'11.F&amp;V Crop Production details'!B108</f>
        <v>0</v>
      </c>
      <c r="D39" s="226">
        <f>'11.F&amp;V Crop Production details'!C108</f>
        <v>0</v>
      </c>
      <c r="E39" s="226">
        <f>'11.F&amp;V Crop Production details'!D108</f>
        <v>0</v>
      </c>
      <c r="F39" s="226">
        <f>'11.F&amp;V Crop Production details'!E108</f>
        <v>0</v>
      </c>
      <c r="G39" s="226">
        <f>'11.F&amp;V Crop Production details'!F108</f>
        <v>0</v>
      </c>
      <c r="H39" s="226">
        <f>'11.F&amp;V Crop Production details'!G108</f>
        <v>0</v>
      </c>
      <c r="I39" s="226">
        <f>'11.F&amp;V Crop Production details'!H108</f>
        <v>0</v>
      </c>
    </row>
    <row r="40" spans="1:9">
      <c r="A40" s="77">
        <f>'11.F&amp;V Crop Production details'!A109</f>
        <v>0</v>
      </c>
      <c r="B40" s="175"/>
      <c r="C40" s="226">
        <f>'11.F&amp;V Crop Production details'!B109</f>
        <v>0</v>
      </c>
      <c r="D40" s="226">
        <f>'11.F&amp;V Crop Production details'!C109</f>
        <v>0</v>
      </c>
      <c r="E40" s="226">
        <f>'11.F&amp;V Crop Production details'!D109</f>
        <v>0</v>
      </c>
      <c r="F40" s="226">
        <f>'11.F&amp;V Crop Production details'!E109</f>
        <v>0</v>
      </c>
      <c r="G40" s="226">
        <f>'11.F&amp;V Crop Production details'!F109</f>
        <v>0</v>
      </c>
      <c r="H40" s="226">
        <f>'11.F&amp;V Crop Production details'!G109</f>
        <v>0</v>
      </c>
      <c r="I40" s="226">
        <f>'11.F&amp;V Crop Production details'!H109</f>
        <v>0</v>
      </c>
    </row>
    <row r="41" spans="1:9">
      <c r="A41" s="77">
        <f>'11.F&amp;V Crop Production details'!A110</f>
        <v>0</v>
      </c>
      <c r="B41" s="175"/>
      <c r="C41" s="226">
        <f>'11.F&amp;V Crop Production details'!B110</f>
        <v>0</v>
      </c>
      <c r="D41" s="226">
        <f>'11.F&amp;V Crop Production details'!C110</f>
        <v>0</v>
      </c>
      <c r="E41" s="226">
        <f>'11.F&amp;V Crop Production details'!D110</f>
        <v>0</v>
      </c>
      <c r="F41" s="226">
        <f>'11.F&amp;V Crop Production details'!E110</f>
        <v>0</v>
      </c>
      <c r="G41" s="226">
        <f>'11.F&amp;V Crop Production details'!F110</f>
        <v>0</v>
      </c>
      <c r="H41" s="226">
        <f>'11.F&amp;V Crop Production details'!G110</f>
        <v>0</v>
      </c>
      <c r="I41" s="226">
        <f>'11.F&amp;V Crop Production details'!H110</f>
        <v>0</v>
      </c>
    </row>
    <row r="42" spans="1:9">
      <c r="A42" s="77" t="str">
        <f>'11.F&amp;V Crop Production details'!A111</f>
        <v>Onion</v>
      </c>
      <c r="B42" s="175"/>
      <c r="C42" s="226">
        <f>'11.F&amp;V Crop Production details'!B111</f>
        <v>0</v>
      </c>
      <c r="D42" s="226">
        <f>'11.F&amp;V Crop Production details'!C111</f>
        <v>0</v>
      </c>
      <c r="E42" s="226">
        <f>'11.F&amp;V Crop Production details'!D111</f>
        <v>0</v>
      </c>
      <c r="F42" s="226">
        <f>'11.F&amp;V Crop Production details'!E111</f>
        <v>0</v>
      </c>
      <c r="G42" s="226">
        <f>'11.F&amp;V Crop Production details'!F111</f>
        <v>0</v>
      </c>
      <c r="H42" s="226">
        <f>'11.F&amp;V Crop Production details'!G111</f>
        <v>0</v>
      </c>
      <c r="I42" s="226">
        <f>'11.F&amp;V Crop Production details'!H111</f>
        <v>0</v>
      </c>
    </row>
    <row r="43" spans="1:9">
      <c r="A43" s="77" t="str">
        <f>'11.F&amp;V Crop Production details'!A112</f>
        <v>Tomato</v>
      </c>
      <c r="B43" s="175"/>
      <c r="C43" s="226">
        <f>'11.F&amp;V Crop Production details'!B112</f>
        <v>0</v>
      </c>
      <c r="D43" s="226">
        <f>'11.F&amp;V Crop Production details'!C112</f>
        <v>0</v>
      </c>
      <c r="E43" s="226">
        <f>'11.F&amp;V Crop Production details'!D112</f>
        <v>0</v>
      </c>
      <c r="F43" s="226">
        <f>'11.F&amp;V Crop Production details'!E112</f>
        <v>0</v>
      </c>
      <c r="G43" s="226">
        <f>'11.F&amp;V Crop Production details'!F112</f>
        <v>0</v>
      </c>
      <c r="H43" s="226">
        <f>'11.F&amp;V Crop Production details'!G112</f>
        <v>0</v>
      </c>
      <c r="I43" s="226">
        <f>'11.F&amp;V Crop Production details'!H112</f>
        <v>0</v>
      </c>
    </row>
    <row r="44" spans="1:9">
      <c r="A44" s="77" t="str">
        <f>'11.F&amp;V Crop Production details'!A113</f>
        <v>Okra</v>
      </c>
      <c r="B44" s="175"/>
      <c r="C44" s="226">
        <f>'11.F&amp;V Crop Production details'!B113</f>
        <v>0</v>
      </c>
      <c r="D44" s="226">
        <f>'11.F&amp;V Crop Production details'!C113</f>
        <v>0</v>
      </c>
      <c r="E44" s="226">
        <f>'11.F&amp;V Crop Production details'!D113</f>
        <v>0</v>
      </c>
      <c r="F44" s="226">
        <f>'11.F&amp;V Crop Production details'!E113</f>
        <v>0</v>
      </c>
      <c r="G44" s="226">
        <f>'11.F&amp;V Crop Production details'!F113</f>
        <v>0</v>
      </c>
      <c r="H44" s="226">
        <f>'11.F&amp;V Crop Production details'!G113</f>
        <v>0</v>
      </c>
      <c r="I44" s="226">
        <f>'11.F&amp;V Crop Production details'!H113</f>
        <v>0</v>
      </c>
    </row>
    <row r="45" spans="1:9">
      <c r="A45" s="77" t="str">
        <f>'11.F&amp;V Crop Production details'!A114</f>
        <v>Chilli</v>
      </c>
      <c r="B45" s="175"/>
      <c r="C45" s="226">
        <f>'11.F&amp;V Crop Production details'!B114</f>
        <v>0</v>
      </c>
      <c r="D45" s="226">
        <f>'11.F&amp;V Crop Production details'!C114</f>
        <v>0</v>
      </c>
      <c r="E45" s="226">
        <f>'11.F&amp;V Crop Production details'!D114</f>
        <v>0</v>
      </c>
      <c r="F45" s="226">
        <f>'11.F&amp;V Crop Production details'!E114</f>
        <v>0</v>
      </c>
      <c r="G45" s="226">
        <f>'11.F&amp;V Crop Production details'!F114</f>
        <v>0</v>
      </c>
      <c r="H45" s="226">
        <f>'11.F&amp;V Crop Production details'!G114</f>
        <v>0</v>
      </c>
      <c r="I45" s="226">
        <f>'11.F&amp;V Crop Production details'!H114</f>
        <v>0</v>
      </c>
    </row>
    <row r="46" spans="1:9">
      <c r="A46" s="77" t="str">
        <f>'11.F&amp;V Crop Production details'!A115</f>
        <v>Brinjal</v>
      </c>
      <c r="B46" s="175"/>
      <c r="C46" s="226">
        <f>'11.F&amp;V Crop Production details'!B115</f>
        <v>0</v>
      </c>
      <c r="D46" s="226">
        <f>'11.F&amp;V Crop Production details'!C115</f>
        <v>0</v>
      </c>
      <c r="E46" s="226">
        <f>'11.F&amp;V Crop Production details'!D115</f>
        <v>0</v>
      </c>
      <c r="F46" s="226">
        <f>'11.F&amp;V Crop Production details'!E115</f>
        <v>0</v>
      </c>
      <c r="G46" s="226">
        <f>'11.F&amp;V Crop Production details'!F115</f>
        <v>0</v>
      </c>
      <c r="H46" s="226">
        <f>'11.F&amp;V Crop Production details'!G115</f>
        <v>0</v>
      </c>
      <c r="I46" s="226">
        <f>'11.F&amp;V Crop Production details'!H115</f>
        <v>0</v>
      </c>
    </row>
    <row r="47" spans="1:9">
      <c r="A47" s="77">
        <f>'11.F&amp;V Crop Production details'!A116</f>
        <v>0</v>
      </c>
      <c r="B47" s="175"/>
      <c r="C47" s="226">
        <f>'11.F&amp;V Crop Production details'!B116</f>
        <v>0</v>
      </c>
      <c r="D47" s="226">
        <f>'11.F&amp;V Crop Production details'!C116</f>
        <v>0</v>
      </c>
      <c r="E47" s="226">
        <f>'11.F&amp;V Crop Production details'!D116</f>
        <v>0</v>
      </c>
      <c r="F47" s="226">
        <f>'11.F&amp;V Crop Production details'!E116</f>
        <v>0</v>
      </c>
      <c r="G47" s="226">
        <f>'11.F&amp;V Crop Production details'!F116</f>
        <v>0</v>
      </c>
      <c r="H47" s="226">
        <f>'11.F&amp;V Crop Production details'!G116</f>
        <v>0</v>
      </c>
      <c r="I47" s="226">
        <f>'11.F&amp;V Crop Production details'!H116</f>
        <v>0</v>
      </c>
    </row>
    <row r="48" spans="1:9">
      <c r="A48" s="77">
        <f>'11.F&amp;V Crop Production details'!A117</f>
        <v>0</v>
      </c>
      <c r="B48" s="175"/>
      <c r="C48" s="226">
        <f>'11.F&amp;V Crop Production details'!B117</f>
        <v>0</v>
      </c>
      <c r="D48" s="226">
        <f>'11.F&amp;V Crop Production details'!C117</f>
        <v>0</v>
      </c>
      <c r="E48" s="226">
        <f>'11.F&amp;V Crop Production details'!D117</f>
        <v>0</v>
      </c>
      <c r="F48" s="226">
        <f>'11.F&amp;V Crop Production details'!E117</f>
        <v>0</v>
      </c>
      <c r="G48" s="226">
        <f>'11.F&amp;V Crop Production details'!F117</f>
        <v>0</v>
      </c>
      <c r="H48" s="226">
        <f>'11.F&amp;V Crop Production details'!G117</f>
        <v>0</v>
      </c>
      <c r="I48" s="226">
        <f>'11.F&amp;V Crop Production details'!H117</f>
        <v>0</v>
      </c>
    </row>
    <row r="49" spans="1:9">
      <c r="A49" s="77">
        <f>'11.F&amp;V Crop Production details'!A118</f>
        <v>0</v>
      </c>
      <c r="B49" s="175"/>
      <c r="C49" s="226">
        <f>'11.F&amp;V Crop Production details'!B118</f>
        <v>0</v>
      </c>
      <c r="D49" s="226">
        <f>'11.F&amp;V Crop Production details'!C118</f>
        <v>0</v>
      </c>
      <c r="E49" s="226">
        <f>'11.F&amp;V Crop Production details'!D118</f>
        <v>0</v>
      </c>
      <c r="F49" s="226">
        <f>'11.F&amp;V Crop Production details'!E118</f>
        <v>0</v>
      </c>
      <c r="G49" s="226">
        <f>'11.F&amp;V Crop Production details'!F118</f>
        <v>0</v>
      </c>
      <c r="H49" s="226">
        <f>'11.F&amp;V Crop Production details'!G118</f>
        <v>0</v>
      </c>
      <c r="I49" s="226">
        <f>'11.F&amp;V Crop Production details'!H118</f>
        <v>0</v>
      </c>
    </row>
    <row r="50" spans="1:9">
      <c r="A50" s="77">
        <f>'11.F&amp;V Crop Production details'!A119</f>
        <v>0</v>
      </c>
      <c r="B50" s="175"/>
      <c r="C50" s="226">
        <f>'11.F&amp;V Crop Production details'!B119</f>
        <v>0</v>
      </c>
      <c r="D50" s="226">
        <f>'11.F&amp;V Crop Production details'!C119</f>
        <v>0</v>
      </c>
      <c r="E50" s="226">
        <f>'11.F&amp;V Crop Production details'!D119</f>
        <v>0</v>
      </c>
      <c r="F50" s="226">
        <f>'11.F&amp;V Crop Production details'!E119</f>
        <v>0</v>
      </c>
      <c r="G50" s="226">
        <f>'11.F&amp;V Crop Production details'!F119</f>
        <v>0</v>
      </c>
      <c r="H50" s="226">
        <f>'11.F&amp;V Crop Production details'!G119</f>
        <v>0</v>
      </c>
      <c r="I50" s="226">
        <f>'11.F&amp;V Crop Production details'!H119</f>
        <v>0</v>
      </c>
    </row>
    <row r="51" spans="1:9">
      <c r="A51" s="77">
        <f>'11.F&amp;V Crop Production details'!A120</f>
        <v>0</v>
      </c>
      <c r="B51" s="175"/>
      <c r="C51" s="226">
        <f>'11.F&amp;V Crop Production details'!B120</f>
        <v>0</v>
      </c>
      <c r="D51" s="226">
        <f>'11.F&amp;V Crop Production details'!C120</f>
        <v>0</v>
      </c>
      <c r="E51" s="226">
        <f>'11.F&amp;V Crop Production details'!D120</f>
        <v>0</v>
      </c>
      <c r="F51" s="226">
        <f>'11.F&amp;V Crop Production details'!E120</f>
        <v>0</v>
      </c>
      <c r="G51" s="226">
        <f>'11.F&amp;V Crop Production details'!F120</f>
        <v>0</v>
      </c>
      <c r="H51" s="226">
        <f>'11.F&amp;V Crop Production details'!G120</f>
        <v>0</v>
      </c>
      <c r="I51" s="226">
        <f>'11.F&amp;V Crop Production details'!H120</f>
        <v>0</v>
      </c>
    </row>
    <row r="52" spans="1:9">
      <c r="A52" s="77">
        <f>'11.F&amp;V Crop Production details'!A121</f>
        <v>0</v>
      </c>
      <c r="B52" s="175"/>
      <c r="C52" s="226">
        <f>'11.F&amp;V Crop Production details'!B121</f>
        <v>0</v>
      </c>
      <c r="D52" s="226">
        <f>'11.F&amp;V Crop Production details'!C121</f>
        <v>0</v>
      </c>
      <c r="E52" s="226">
        <f>'11.F&amp;V Crop Production details'!D121</f>
        <v>0</v>
      </c>
      <c r="F52" s="226">
        <f>'11.F&amp;V Crop Production details'!E121</f>
        <v>0</v>
      </c>
      <c r="G52" s="226">
        <f>'11.F&amp;V Crop Production details'!F121</f>
        <v>0</v>
      </c>
      <c r="H52" s="226">
        <f>'11.F&amp;V Crop Production details'!G121</f>
        <v>0</v>
      </c>
      <c r="I52" s="226">
        <f>'11.F&amp;V Crop Production details'!H121</f>
        <v>0</v>
      </c>
    </row>
    <row r="53" spans="1:9">
      <c r="A53" s="77">
        <f>'11.F&amp;V Crop Production details'!A122</f>
        <v>0</v>
      </c>
      <c r="B53" s="175"/>
      <c r="C53" s="226">
        <f>'11.F&amp;V Crop Production details'!B122</f>
        <v>0</v>
      </c>
      <c r="D53" s="226">
        <f>'11.F&amp;V Crop Production details'!C122</f>
        <v>0</v>
      </c>
      <c r="E53" s="226">
        <f>'11.F&amp;V Crop Production details'!D122</f>
        <v>0</v>
      </c>
      <c r="F53" s="226">
        <f>'11.F&amp;V Crop Production details'!E122</f>
        <v>0</v>
      </c>
      <c r="G53" s="226">
        <f>'11.F&amp;V Crop Production details'!F122</f>
        <v>0</v>
      </c>
      <c r="H53" s="226">
        <f>'11.F&amp;V Crop Production details'!G122</f>
        <v>0</v>
      </c>
      <c r="I53" s="226">
        <f>'11.F&amp;V Crop Production details'!H122</f>
        <v>0</v>
      </c>
    </row>
    <row r="54" spans="1:9">
      <c r="A54" s="77" t="str">
        <f>'11.F&amp;V Crop Production details'!A123</f>
        <v>Pomegranate</v>
      </c>
      <c r="B54" s="175"/>
      <c r="C54" s="226">
        <f>'11.F&amp;V Crop Production details'!B123</f>
        <v>0</v>
      </c>
      <c r="D54" s="226">
        <f>'11.F&amp;V Crop Production details'!C123</f>
        <v>0</v>
      </c>
      <c r="E54" s="226">
        <f>'11.F&amp;V Crop Production details'!D123</f>
        <v>0</v>
      </c>
      <c r="F54" s="226">
        <f>'11.F&amp;V Crop Production details'!E123</f>
        <v>0</v>
      </c>
      <c r="G54" s="226">
        <f>'11.F&amp;V Crop Production details'!F123</f>
        <v>0</v>
      </c>
      <c r="H54" s="226">
        <f>'11.F&amp;V Crop Production details'!G123</f>
        <v>0</v>
      </c>
      <c r="I54" s="226">
        <f>'11.F&amp;V Crop Production details'!H123</f>
        <v>0</v>
      </c>
    </row>
    <row r="55" spans="1:9">
      <c r="A55" s="77" t="str">
        <f>'11.F&amp;V Crop Production details'!A124</f>
        <v>Custard Apple</v>
      </c>
      <c r="B55" s="175"/>
      <c r="C55" s="226">
        <f>'11.F&amp;V Crop Production details'!B124</f>
        <v>0</v>
      </c>
      <c r="D55" s="226">
        <f>'11.F&amp;V Crop Production details'!C124</f>
        <v>0</v>
      </c>
      <c r="E55" s="226">
        <f>'11.F&amp;V Crop Production details'!D124</f>
        <v>0</v>
      </c>
      <c r="F55" s="226">
        <f>'11.F&amp;V Crop Production details'!E124</f>
        <v>0</v>
      </c>
      <c r="G55" s="226">
        <f>'11.F&amp;V Crop Production details'!F124</f>
        <v>0</v>
      </c>
      <c r="H55" s="226">
        <f>'11.F&amp;V Crop Production details'!G124</f>
        <v>0</v>
      </c>
      <c r="I55" s="226">
        <f>'11.F&amp;V Crop Production details'!H124</f>
        <v>0</v>
      </c>
    </row>
    <row r="56" spans="1:9">
      <c r="A56" s="77" t="str">
        <f>'11.F&amp;V Crop Production details'!A125</f>
        <v>Guava</v>
      </c>
      <c r="B56" s="175"/>
      <c r="C56" s="226">
        <f>'11.F&amp;V Crop Production details'!B125</f>
        <v>0</v>
      </c>
      <c r="D56" s="226">
        <f>'11.F&amp;V Crop Production details'!C125</f>
        <v>0</v>
      </c>
      <c r="E56" s="226">
        <f>'11.F&amp;V Crop Production details'!D125</f>
        <v>0</v>
      </c>
      <c r="F56" s="226">
        <f>'11.F&amp;V Crop Production details'!E125</f>
        <v>0</v>
      </c>
      <c r="G56" s="226">
        <f>'11.F&amp;V Crop Production details'!F125</f>
        <v>0</v>
      </c>
      <c r="H56" s="226">
        <f>'11.F&amp;V Crop Production details'!G125</f>
        <v>0</v>
      </c>
      <c r="I56" s="226">
        <f>'11.F&amp;V Crop Production details'!H125</f>
        <v>0</v>
      </c>
    </row>
    <row r="57" spans="1:9">
      <c r="A57" s="77" t="str">
        <f>'11.F&amp;V Crop Production details'!A126</f>
        <v>Citrus</v>
      </c>
      <c r="B57" s="175"/>
      <c r="C57" s="226">
        <f>'11.F&amp;V Crop Production details'!B126</f>
        <v>0</v>
      </c>
      <c r="D57" s="226">
        <f>'11.F&amp;V Crop Production details'!C126</f>
        <v>0</v>
      </c>
      <c r="E57" s="226">
        <f>'11.F&amp;V Crop Production details'!D126</f>
        <v>0</v>
      </c>
      <c r="F57" s="226">
        <f>'11.F&amp;V Crop Production details'!E126</f>
        <v>0</v>
      </c>
      <c r="G57" s="226">
        <f>'11.F&amp;V Crop Production details'!F126</f>
        <v>0</v>
      </c>
      <c r="H57" s="226">
        <f>'11.F&amp;V Crop Production details'!G126</f>
        <v>0</v>
      </c>
      <c r="I57" s="226">
        <f>'11.F&amp;V Crop Production details'!H126</f>
        <v>0</v>
      </c>
    </row>
    <row r="58" spans="1:9">
      <c r="A58" s="77"/>
      <c r="B58" s="175"/>
      <c r="C58" s="175"/>
      <c r="D58" s="175"/>
      <c r="E58" s="175"/>
      <c r="F58" s="175"/>
      <c r="G58" s="175"/>
      <c r="H58" s="175"/>
      <c r="I58" s="175"/>
    </row>
    <row r="59" spans="1:9">
      <c r="A59" s="79" t="s">
        <v>183</v>
      </c>
      <c r="B59" s="77"/>
      <c r="C59" s="77"/>
      <c r="D59" s="77"/>
      <c r="E59" s="77"/>
      <c r="F59" s="77"/>
      <c r="G59" s="77"/>
      <c r="H59" s="77"/>
      <c r="I59" s="77"/>
    </row>
    <row r="60" spans="1:9">
      <c r="A60" s="79" t="s">
        <v>184</v>
      </c>
      <c r="B60" s="77"/>
      <c r="C60" s="77"/>
      <c r="D60" s="77"/>
      <c r="E60" s="77"/>
      <c r="F60" s="77"/>
      <c r="G60" s="77"/>
      <c r="H60" s="77"/>
      <c r="I60" s="77"/>
    </row>
    <row r="61" spans="1:9">
      <c r="A61" s="79" t="str">
        <f t="shared" ref="A61:A92" si="0">A8</f>
        <v>Kharif Crops</v>
      </c>
      <c r="B61" s="77"/>
      <c r="C61" s="77"/>
      <c r="D61" s="77"/>
      <c r="E61" s="77"/>
      <c r="F61" s="77"/>
      <c r="G61" s="77"/>
      <c r="H61" s="77"/>
      <c r="I61" s="77"/>
    </row>
    <row r="62" spans="1:9">
      <c r="A62" s="77" t="str">
        <f t="shared" si="0"/>
        <v>Soybean</v>
      </c>
      <c r="B62" s="201">
        <v>40</v>
      </c>
      <c r="C62" s="171">
        <f>$B62*C9</f>
        <v>0</v>
      </c>
      <c r="D62" s="171">
        <f>$B62*D9</f>
        <v>0</v>
      </c>
      <c r="E62" s="171">
        <f t="shared" ref="E62:I62" si="1">$B62*E9</f>
        <v>0</v>
      </c>
      <c r="F62" s="171">
        <f t="shared" si="1"/>
        <v>0</v>
      </c>
      <c r="G62" s="171">
        <f t="shared" si="1"/>
        <v>0</v>
      </c>
      <c r="H62" s="171">
        <f t="shared" si="1"/>
        <v>0</v>
      </c>
      <c r="I62" s="171">
        <f t="shared" si="1"/>
        <v>0</v>
      </c>
    </row>
    <row r="63" spans="1:9">
      <c r="A63" s="77" t="str">
        <f t="shared" si="0"/>
        <v>Red Gram/Tur</v>
      </c>
      <c r="B63" s="201">
        <v>5</v>
      </c>
      <c r="C63" s="171">
        <f>$B63*C10</f>
        <v>0</v>
      </c>
      <c r="D63" s="171">
        <f t="shared" ref="D63:I63" si="2">$B$63*D10</f>
        <v>0</v>
      </c>
      <c r="E63" s="171">
        <f t="shared" si="2"/>
        <v>0</v>
      </c>
      <c r="F63" s="171">
        <f t="shared" si="2"/>
        <v>0</v>
      </c>
      <c r="G63" s="171">
        <f t="shared" si="2"/>
        <v>0</v>
      </c>
      <c r="H63" s="171">
        <f t="shared" si="2"/>
        <v>0</v>
      </c>
      <c r="I63" s="171">
        <f t="shared" si="2"/>
        <v>0</v>
      </c>
    </row>
    <row r="64" spans="1:9">
      <c r="A64" s="77" t="str">
        <f t="shared" si="0"/>
        <v>Paddy/Rice</v>
      </c>
      <c r="B64" s="201">
        <v>15</v>
      </c>
      <c r="C64" s="171">
        <f>$B64*C11</f>
        <v>0</v>
      </c>
      <c r="D64" s="171">
        <f t="shared" ref="D64:I64" si="3">$B$64*D11</f>
        <v>0</v>
      </c>
      <c r="E64" s="171">
        <f t="shared" si="3"/>
        <v>0</v>
      </c>
      <c r="F64" s="171">
        <f t="shared" si="3"/>
        <v>0</v>
      </c>
      <c r="G64" s="171">
        <f t="shared" si="3"/>
        <v>0</v>
      </c>
      <c r="H64" s="171">
        <f t="shared" si="3"/>
        <v>0</v>
      </c>
      <c r="I64" s="171">
        <f t="shared" si="3"/>
        <v>0</v>
      </c>
    </row>
    <row r="65" spans="1:9">
      <c r="A65" s="77" t="str">
        <f t="shared" si="0"/>
        <v>Green Gram/ Moong</v>
      </c>
      <c r="B65" s="201">
        <v>15</v>
      </c>
      <c r="C65" s="171">
        <f>$B65*C12</f>
        <v>0</v>
      </c>
      <c r="D65" s="171">
        <f t="shared" ref="D65:I67" si="4">$B65*D12</f>
        <v>0</v>
      </c>
      <c r="E65" s="171">
        <f t="shared" si="4"/>
        <v>0</v>
      </c>
      <c r="F65" s="171">
        <f t="shared" si="4"/>
        <v>0</v>
      </c>
      <c r="G65" s="171">
        <f t="shared" si="4"/>
        <v>0</v>
      </c>
      <c r="H65" s="171">
        <f t="shared" si="4"/>
        <v>0</v>
      </c>
      <c r="I65" s="171">
        <f t="shared" si="4"/>
        <v>0</v>
      </c>
    </row>
    <row r="66" spans="1:9">
      <c r="A66" s="77" t="str">
        <f t="shared" si="0"/>
        <v>Maize</v>
      </c>
      <c r="B66" s="201">
        <v>25</v>
      </c>
      <c r="C66" s="171">
        <f>$B66*C13</f>
        <v>0</v>
      </c>
      <c r="D66" s="171">
        <f t="shared" si="4"/>
        <v>0</v>
      </c>
      <c r="E66" s="171">
        <f t="shared" si="4"/>
        <v>0</v>
      </c>
      <c r="F66" s="171">
        <f t="shared" si="4"/>
        <v>0</v>
      </c>
      <c r="G66" s="171">
        <f t="shared" si="4"/>
        <v>0</v>
      </c>
      <c r="H66" s="171">
        <f t="shared" si="4"/>
        <v>0</v>
      </c>
      <c r="I66" s="171">
        <f t="shared" si="4"/>
        <v>0</v>
      </c>
    </row>
    <row r="67" spans="1:9">
      <c r="A67" s="77" t="str">
        <f t="shared" si="0"/>
        <v>Black Gram/Udid</v>
      </c>
      <c r="B67" s="201">
        <v>15</v>
      </c>
      <c r="C67" s="171">
        <f>$B67*C14</f>
        <v>0</v>
      </c>
      <c r="D67" s="171">
        <f t="shared" si="4"/>
        <v>0</v>
      </c>
      <c r="E67" s="171">
        <f t="shared" si="4"/>
        <v>0</v>
      </c>
      <c r="F67" s="171">
        <f t="shared" si="4"/>
        <v>0</v>
      </c>
      <c r="G67" s="171">
        <f t="shared" si="4"/>
        <v>0</v>
      </c>
      <c r="H67" s="171">
        <f t="shared" si="4"/>
        <v>0</v>
      </c>
      <c r="I67" s="171">
        <f t="shared" si="4"/>
        <v>0</v>
      </c>
    </row>
    <row r="68" spans="1:9">
      <c r="A68" s="77" t="str">
        <f t="shared" si="0"/>
        <v>Bajra</v>
      </c>
      <c r="B68" s="201">
        <v>5</v>
      </c>
      <c r="C68" s="171">
        <f t="shared" ref="C68:I68" si="5">$B68*C15</f>
        <v>0</v>
      </c>
      <c r="D68" s="171">
        <f t="shared" si="5"/>
        <v>0</v>
      </c>
      <c r="E68" s="171">
        <f t="shared" si="5"/>
        <v>0</v>
      </c>
      <c r="F68" s="171">
        <f t="shared" si="5"/>
        <v>0</v>
      </c>
      <c r="G68" s="171">
        <f t="shared" si="5"/>
        <v>0</v>
      </c>
      <c r="H68" s="171">
        <f t="shared" si="5"/>
        <v>0</v>
      </c>
      <c r="I68" s="171">
        <f t="shared" si="5"/>
        <v>0</v>
      </c>
    </row>
    <row r="69" spans="1:9">
      <c r="A69" s="77" t="str">
        <f t="shared" si="0"/>
        <v>Jawar</v>
      </c>
      <c r="B69" s="201">
        <v>5</v>
      </c>
      <c r="C69" s="171">
        <f t="shared" ref="C69:I69" si="6">$B69*C16</f>
        <v>0</v>
      </c>
      <c r="D69" s="171">
        <f t="shared" si="6"/>
        <v>0</v>
      </c>
      <c r="E69" s="171">
        <f t="shared" si="6"/>
        <v>0</v>
      </c>
      <c r="F69" s="171">
        <f t="shared" si="6"/>
        <v>0</v>
      </c>
      <c r="G69" s="171">
        <f t="shared" si="6"/>
        <v>0</v>
      </c>
      <c r="H69" s="171">
        <f t="shared" si="6"/>
        <v>0</v>
      </c>
      <c r="I69" s="171">
        <f t="shared" si="6"/>
        <v>0</v>
      </c>
    </row>
    <row r="70" spans="1:9">
      <c r="A70" s="79" t="str">
        <f t="shared" si="0"/>
        <v>Rabi Crop</v>
      </c>
      <c r="B70" s="201"/>
      <c r="C70" s="171"/>
      <c r="D70" s="171"/>
      <c r="E70" s="171"/>
      <c r="F70" s="171"/>
      <c r="G70" s="171"/>
      <c r="H70" s="171"/>
      <c r="I70" s="171"/>
    </row>
    <row r="71" spans="1:9">
      <c r="A71" s="77" t="str">
        <f t="shared" si="0"/>
        <v>Wheat</v>
      </c>
      <c r="B71" s="201">
        <v>20</v>
      </c>
      <c r="C71" s="171">
        <f t="shared" ref="C71:I71" si="7">$B71*C18</f>
        <v>0</v>
      </c>
      <c r="D71" s="171">
        <f t="shared" si="7"/>
        <v>0</v>
      </c>
      <c r="E71" s="171">
        <f t="shared" si="7"/>
        <v>0</v>
      </c>
      <c r="F71" s="171">
        <f t="shared" si="7"/>
        <v>0</v>
      </c>
      <c r="G71" s="171">
        <f t="shared" si="7"/>
        <v>0</v>
      </c>
      <c r="H71" s="171">
        <f t="shared" si="7"/>
        <v>0</v>
      </c>
      <c r="I71" s="171">
        <f t="shared" si="7"/>
        <v>0</v>
      </c>
    </row>
    <row r="72" spans="1:9">
      <c r="A72" s="77" t="str">
        <f t="shared" si="0"/>
        <v>Bengal Gram/Channa</v>
      </c>
      <c r="B72" s="201">
        <v>25</v>
      </c>
      <c r="C72" s="171">
        <f t="shared" ref="C72:I72" si="8">$B72*C19</f>
        <v>0</v>
      </c>
      <c r="D72" s="171">
        <f t="shared" si="8"/>
        <v>0</v>
      </c>
      <c r="E72" s="171">
        <f t="shared" si="8"/>
        <v>0</v>
      </c>
      <c r="F72" s="171">
        <f t="shared" si="8"/>
        <v>0</v>
      </c>
      <c r="G72" s="171">
        <f t="shared" si="8"/>
        <v>0</v>
      </c>
      <c r="H72" s="171">
        <f t="shared" si="8"/>
        <v>0</v>
      </c>
      <c r="I72" s="171">
        <f t="shared" si="8"/>
        <v>0</v>
      </c>
    </row>
    <row r="73" spans="1:9">
      <c r="A73" s="77" t="str">
        <f t="shared" si="0"/>
        <v>Jawar</v>
      </c>
      <c r="B73" s="201">
        <v>5</v>
      </c>
      <c r="C73" s="171">
        <f t="shared" ref="C73:I73" si="9">$B73*C20</f>
        <v>0</v>
      </c>
      <c r="D73" s="171">
        <f t="shared" si="9"/>
        <v>0</v>
      </c>
      <c r="E73" s="171">
        <f t="shared" si="9"/>
        <v>0</v>
      </c>
      <c r="F73" s="171">
        <f t="shared" si="9"/>
        <v>0</v>
      </c>
      <c r="G73" s="171">
        <f t="shared" si="9"/>
        <v>0</v>
      </c>
      <c r="H73" s="171">
        <f t="shared" si="9"/>
        <v>0</v>
      </c>
      <c r="I73" s="171">
        <f t="shared" si="9"/>
        <v>0</v>
      </c>
    </row>
    <row r="74" spans="1:9">
      <c r="A74" s="77" t="str">
        <f t="shared" si="0"/>
        <v>Maize</v>
      </c>
      <c r="B74" s="201">
        <v>20</v>
      </c>
      <c r="C74" s="171">
        <f t="shared" ref="C74:I74" si="10">$B74*C21</f>
        <v>0</v>
      </c>
      <c r="D74" s="171">
        <f t="shared" si="10"/>
        <v>0</v>
      </c>
      <c r="E74" s="171">
        <f t="shared" si="10"/>
        <v>0</v>
      </c>
      <c r="F74" s="171">
        <f t="shared" si="10"/>
        <v>0</v>
      </c>
      <c r="G74" s="171">
        <f t="shared" si="10"/>
        <v>0</v>
      </c>
      <c r="H74" s="171">
        <f t="shared" si="10"/>
        <v>0</v>
      </c>
      <c r="I74" s="171">
        <f t="shared" si="10"/>
        <v>0</v>
      </c>
    </row>
    <row r="75" spans="1:9">
      <c r="A75" s="77" t="str">
        <f t="shared" si="0"/>
        <v>Safflower</v>
      </c>
      <c r="B75" s="201"/>
      <c r="C75" s="171">
        <f t="shared" ref="C75:I75" si="11">$B75*C22</f>
        <v>0</v>
      </c>
      <c r="D75" s="171">
        <f t="shared" si="11"/>
        <v>0</v>
      </c>
      <c r="E75" s="171">
        <f t="shared" si="11"/>
        <v>0</v>
      </c>
      <c r="F75" s="171">
        <f t="shared" si="11"/>
        <v>0</v>
      </c>
      <c r="G75" s="171">
        <f t="shared" si="11"/>
        <v>0</v>
      </c>
      <c r="H75" s="171">
        <f t="shared" si="11"/>
        <v>0</v>
      </c>
      <c r="I75" s="171">
        <f t="shared" si="11"/>
        <v>0</v>
      </c>
    </row>
    <row r="76" spans="1:9">
      <c r="A76" s="77">
        <f t="shared" si="0"/>
        <v>0</v>
      </c>
      <c r="B76" s="201"/>
      <c r="C76" s="171">
        <f t="shared" ref="C76:I76" si="12">$B76*C23</f>
        <v>0</v>
      </c>
      <c r="D76" s="171">
        <f t="shared" si="12"/>
        <v>0</v>
      </c>
      <c r="E76" s="171">
        <f t="shared" si="12"/>
        <v>0</v>
      </c>
      <c r="F76" s="171">
        <f t="shared" si="12"/>
        <v>0</v>
      </c>
      <c r="G76" s="171">
        <f t="shared" si="12"/>
        <v>0</v>
      </c>
      <c r="H76" s="171">
        <f t="shared" si="12"/>
        <v>0</v>
      </c>
      <c r="I76" s="171">
        <f t="shared" si="12"/>
        <v>0</v>
      </c>
    </row>
    <row r="77" spans="1:9">
      <c r="A77" s="77">
        <f t="shared" si="0"/>
        <v>0</v>
      </c>
      <c r="B77" s="201"/>
      <c r="C77" s="171">
        <f t="shared" ref="C77:I77" si="13">$B77*C24</f>
        <v>0</v>
      </c>
      <c r="D77" s="171">
        <f t="shared" si="13"/>
        <v>0</v>
      </c>
      <c r="E77" s="171">
        <f t="shared" si="13"/>
        <v>0</v>
      </c>
      <c r="F77" s="171">
        <f t="shared" si="13"/>
        <v>0</v>
      </c>
      <c r="G77" s="171">
        <f t="shared" si="13"/>
        <v>0</v>
      </c>
      <c r="H77" s="171">
        <f t="shared" si="13"/>
        <v>0</v>
      </c>
      <c r="I77" s="171">
        <f t="shared" si="13"/>
        <v>0</v>
      </c>
    </row>
    <row r="78" spans="1:9">
      <c r="A78" s="77">
        <f t="shared" si="0"/>
        <v>0</v>
      </c>
      <c r="B78" s="201"/>
      <c r="C78" s="171">
        <f t="shared" ref="C78:I78" si="14">$B78*C25</f>
        <v>0</v>
      </c>
      <c r="D78" s="171">
        <f t="shared" si="14"/>
        <v>0</v>
      </c>
      <c r="E78" s="171">
        <f t="shared" si="14"/>
        <v>0</v>
      </c>
      <c r="F78" s="171">
        <f t="shared" si="14"/>
        <v>0</v>
      </c>
      <c r="G78" s="171">
        <f t="shared" si="14"/>
        <v>0</v>
      </c>
      <c r="H78" s="171">
        <f t="shared" si="14"/>
        <v>0</v>
      </c>
      <c r="I78" s="171">
        <f t="shared" si="14"/>
        <v>0</v>
      </c>
    </row>
    <row r="79" spans="1:9">
      <c r="A79" s="79" t="str">
        <f t="shared" si="0"/>
        <v>Summer</v>
      </c>
      <c r="B79" s="201"/>
      <c r="C79" s="171"/>
      <c r="D79" s="171"/>
      <c r="E79" s="171"/>
      <c r="F79" s="171"/>
      <c r="G79" s="171"/>
      <c r="H79" s="171"/>
      <c r="I79" s="171"/>
    </row>
    <row r="80" spans="1:9">
      <c r="A80" s="77" t="str">
        <f t="shared" si="0"/>
        <v>Groundnut</v>
      </c>
      <c r="B80" s="201"/>
      <c r="C80" s="171">
        <f t="shared" ref="C80:I80" si="15">$B80*C27</f>
        <v>0</v>
      </c>
      <c r="D80" s="171">
        <f t="shared" si="15"/>
        <v>0</v>
      </c>
      <c r="E80" s="171">
        <f t="shared" si="15"/>
        <v>0</v>
      </c>
      <c r="F80" s="171">
        <f t="shared" si="15"/>
        <v>0</v>
      </c>
      <c r="G80" s="171">
        <f t="shared" si="15"/>
        <v>0</v>
      </c>
      <c r="H80" s="171">
        <f t="shared" si="15"/>
        <v>0</v>
      </c>
      <c r="I80" s="171">
        <f t="shared" si="15"/>
        <v>0</v>
      </c>
    </row>
    <row r="81" spans="1:9">
      <c r="A81" s="77">
        <f t="shared" si="0"/>
        <v>0</v>
      </c>
      <c r="B81" s="201"/>
      <c r="C81" s="171">
        <f t="shared" ref="C81:I81" si="16">$B81*C28</f>
        <v>0</v>
      </c>
      <c r="D81" s="171">
        <f t="shared" si="16"/>
        <v>0</v>
      </c>
      <c r="E81" s="171">
        <f t="shared" si="16"/>
        <v>0</v>
      </c>
      <c r="F81" s="171">
        <f t="shared" si="16"/>
        <v>0</v>
      </c>
      <c r="G81" s="171">
        <f t="shared" si="16"/>
        <v>0</v>
      </c>
      <c r="H81" s="171">
        <f t="shared" si="16"/>
        <v>0</v>
      </c>
      <c r="I81" s="171">
        <f t="shared" si="16"/>
        <v>0</v>
      </c>
    </row>
    <row r="82" spans="1:9">
      <c r="A82" s="77">
        <f t="shared" si="0"/>
        <v>0</v>
      </c>
      <c r="B82" s="201"/>
      <c r="C82" s="171">
        <f t="shared" ref="C82:I82" si="17">$B82*C29</f>
        <v>0</v>
      </c>
      <c r="D82" s="171">
        <f t="shared" si="17"/>
        <v>0</v>
      </c>
      <c r="E82" s="171">
        <f t="shared" si="17"/>
        <v>0</v>
      </c>
      <c r="F82" s="171">
        <f t="shared" si="17"/>
        <v>0</v>
      </c>
      <c r="G82" s="171">
        <f t="shared" si="17"/>
        <v>0</v>
      </c>
      <c r="H82" s="171">
        <f t="shared" si="17"/>
        <v>0</v>
      </c>
      <c r="I82" s="171">
        <f t="shared" si="17"/>
        <v>0</v>
      </c>
    </row>
    <row r="83" spans="1:9">
      <c r="A83" s="77">
        <f t="shared" si="0"/>
        <v>0</v>
      </c>
      <c r="B83" s="201"/>
      <c r="C83" s="171">
        <f t="shared" ref="C83:I83" si="18">$B83*C30</f>
        <v>0</v>
      </c>
      <c r="D83" s="171">
        <f t="shared" si="18"/>
        <v>0</v>
      </c>
      <c r="E83" s="171">
        <f t="shared" si="18"/>
        <v>0</v>
      </c>
      <c r="F83" s="171">
        <f t="shared" si="18"/>
        <v>0</v>
      </c>
      <c r="G83" s="171">
        <f t="shared" si="18"/>
        <v>0</v>
      </c>
      <c r="H83" s="171">
        <f t="shared" si="18"/>
        <v>0</v>
      </c>
      <c r="I83" s="171">
        <f t="shared" si="18"/>
        <v>0</v>
      </c>
    </row>
    <row r="84" spans="1:9">
      <c r="A84" s="77">
        <f t="shared" si="0"/>
        <v>0</v>
      </c>
      <c r="B84" s="201"/>
      <c r="C84" s="171">
        <f t="shared" ref="C84:I84" si="19">$B84*C31</f>
        <v>0</v>
      </c>
      <c r="D84" s="171">
        <f t="shared" si="19"/>
        <v>0</v>
      </c>
      <c r="E84" s="171">
        <f t="shared" si="19"/>
        <v>0</v>
      </c>
      <c r="F84" s="171">
        <f t="shared" si="19"/>
        <v>0</v>
      </c>
      <c r="G84" s="171">
        <f t="shared" si="19"/>
        <v>0</v>
      </c>
      <c r="H84" s="171">
        <f t="shared" si="19"/>
        <v>0</v>
      </c>
      <c r="I84" s="171">
        <f t="shared" si="19"/>
        <v>0</v>
      </c>
    </row>
    <row r="85" spans="1:9">
      <c r="A85" s="79" t="str">
        <f t="shared" si="0"/>
        <v>Fruit  &amp; Vegetables Crop Production Details</v>
      </c>
      <c r="B85" s="201"/>
      <c r="C85" s="171"/>
      <c r="D85" s="171"/>
      <c r="E85" s="171"/>
      <c r="F85" s="171"/>
      <c r="G85" s="171"/>
      <c r="H85" s="171"/>
      <c r="I85" s="171"/>
    </row>
    <row r="86" spans="1:9">
      <c r="A86" s="77" t="str">
        <f t="shared" si="0"/>
        <v>Onion</v>
      </c>
      <c r="B86" s="201"/>
      <c r="C86" s="171">
        <f t="shared" ref="C86:I86" si="20">$B86*C33</f>
        <v>0</v>
      </c>
      <c r="D86" s="171">
        <f t="shared" si="20"/>
        <v>0</v>
      </c>
      <c r="E86" s="171">
        <f t="shared" si="20"/>
        <v>0</v>
      </c>
      <c r="F86" s="171">
        <f t="shared" si="20"/>
        <v>0</v>
      </c>
      <c r="G86" s="171">
        <f t="shared" si="20"/>
        <v>0</v>
      </c>
      <c r="H86" s="171">
        <f t="shared" si="20"/>
        <v>0</v>
      </c>
      <c r="I86" s="171">
        <f t="shared" si="20"/>
        <v>0</v>
      </c>
    </row>
    <row r="87" spans="1:9">
      <c r="A87" s="77" t="str">
        <f t="shared" si="0"/>
        <v>Tomato</v>
      </c>
      <c r="B87" s="201"/>
      <c r="C87" s="171">
        <f t="shared" ref="C87:I87" si="21">$B87*C34</f>
        <v>0</v>
      </c>
      <c r="D87" s="171">
        <f t="shared" si="21"/>
        <v>0</v>
      </c>
      <c r="E87" s="171">
        <f t="shared" si="21"/>
        <v>0</v>
      </c>
      <c r="F87" s="171">
        <f t="shared" si="21"/>
        <v>0</v>
      </c>
      <c r="G87" s="171">
        <f t="shared" si="21"/>
        <v>0</v>
      </c>
      <c r="H87" s="171">
        <f t="shared" si="21"/>
        <v>0</v>
      </c>
      <c r="I87" s="171">
        <f t="shared" si="21"/>
        <v>0</v>
      </c>
    </row>
    <row r="88" spans="1:9">
      <c r="A88" s="77" t="str">
        <f t="shared" si="0"/>
        <v>Okra</v>
      </c>
      <c r="B88" s="201"/>
      <c r="C88" s="171">
        <f t="shared" ref="C88:I88" si="22">$B88*C35</f>
        <v>0</v>
      </c>
      <c r="D88" s="171">
        <f t="shared" si="22"/>
        <v>0</v>
      </c>
      <c r="E88" s="171">
        <f t="shared" si="22"/>
        <v>0</v>
      </c>
      <c r="F88" s="171">
        <f t="shared" si="22"/>
        <v>0</v>
      </c>
      <c r="G88" s="171">
        <f t="shared" si="22"/>
        <v>0</v>
      </c>
      <c r="H88" s="171">
        <f t="shared" si="22"/>
        <v>0</v>
      </c>
      <c r="I88" s="171">
        <f t="shared" si="22"/>
        <v>0</v>
      </c>
    </row>
    <row r="89" spans="1:9">
      <c r="A89" s="77" t="str">
        <f t="shared" si="0"/>
        <v>Chilli</v>
      </c>
      <c r="B89" s="201"/>
      <c r="C89" s="171">
        <f t="shared" ref="C89:I89" si="23">$B89*C36</f>
        <v>0</v>
      </c>
      <c r="D89" s="171">
        <f t="shared" si="23"/>
        <v>0</v>
      </c>
      <c r="E89" s="171">
        <f t="shared" si="23"/>
        <v>0</v>
      </c>
      <c r="F89" s="171">
        <f t="shared" si="23"/>
        <v>0</v>
      </c>
      <c r="G89" s="171">
        <f t="shared" si="23"/>
        <v>0</v>
      </c>
      <c r="H89" s="171">
        <f t="shared" si="23"/>
        <v>0</v>
      </c>
      <c r="I89" s="171">
        <f t="shared" si="23"/>
        <v>0</v>
      </c>
    </row>
    <row r="90" spans="1:9">
      <c r="A90" s="77" t="str">
        <f t="shared" si="0"/>
        <v>Potato</v>
      </c>
      <c r="B90" s="201"/>
      <c r="C90" s="171">
        <f t="shared" ref="C90:I90" si="24">$B90*C37</f>
        <v>0</v>
      </c>
      <c r="D90" s="171">
        <f t="shared" si="24"/>
        <v>0</v>
      </c>
      <c r="E90" s="171">
        <f t="shared" si="24"/>
        <v>0</v>
      </c>
      <c r="F90" s="171">
        <f t="shared" si="24"/>
        <v>0</v>
      </c>
      <c r="G90" s="171">
        <f t="shared" si="24"/>
        <v>0</v>
      </c>
      <c r="H90" s="171">
        <f t="shared" si="24"/>
        <v>0</v>
      </c>
      <c r="I90" s="171">
        <f t="shared" si="24"/>
        <v>0</v>
      </c>
    </row>
    <row r="91" spans="1:9">
      <c r="A91" s="77">
        <f t="shared" si="0"/>
        <v>0</v>
      </c>
      <c r="B91" s="201"/>
      <c r="C91" s="171">
        <f t="shared" ref="C91:I91" si="25">$B91*C38</f>
        <v>0</v>
      </c>
      <c r="D91" s="171">
        <f t="shared" si="25"/>
        <v>0</v>
      </c>
      <c r="E91" s="171">
        <f t="shared" si="25"/>
        <v>0</v>
      </c>
      <c r="F91" s="171">
        <f t="shared" si="25"/>
        <v>0</v>
      </c>
      <c r="G91" s="171">
        <f t="shared" si="25"/>
        <v>0</v>
      </c>
      <c r="H91" s="171">
        <f t="shared" si="25"/>
        <v>0</v>
      </c>
      <c r="I91" s="171">
        <f t="shared" si="25"/>
        <v>0</v>
      </c>
    </row>
    <row r="92" spans="1:9">
      <c r="A92" s="77">
        <f t="shared" si="0"/>
        <v>0</v>
      </c>
      <c r="B92" s="201"/>
      <c r="C92" s="171">
        <f t="shared" ref="C92:I92" si="26">$B92*C39</f>
        <v>0</v>
      </c>
      <c r="D92" s="171">
        <f t="shared" si="26"/>
        <v>0</v>
      </c>
      <c r="E92" s="171">
        <f t="shared" si="26"/>
        <v>0</v>
      </c>
      <c r="F92" s="171">
        <f t="shared" si="26"/>
        <v>0</v>
      </c>
      <c r="G92" s="171">
        <f t="shared" si="26"/>
        <v>0</v>
      </c>
      <c r="H92" s="171">
        <f t="shared" si="26"/>
        <v>0</v>
      </c>
      <c r="I92" s="171">
        <f t="shared" si="26"/>
        <v>0</v>
      </c>
    </row>
    <row r="93" spans="1:9">
      <c r="A93" s="77">
        <f t="shared" ref="A93:A110" si="27">A40</f>
        <v>0</v>
      </c>
      <c r="B93" s="201"/>
      <c r="C93" s="171">
        <f t="shared" ref="C93:I93" si="28">$B93*C40</f>
        <v>0</v>
      </c>
      <c r="D93" s="171">
        <f t="shared" si="28"/>
        <v>0</v>
      </c>
      <c r="E93" s="171">
        <f t="shared" si="28"/>
        <v>0</v>
      </c>
      <c r="F93" s="171">
        <f t="shared" si="28"/>
        <v>0</v>
      </c>
      <c r="G93" s="171">
        <f t="shared" si="28"/>
        <v>0</v>
      </c>
      <c r="H93" s="171">
        <f t="shared" si="28"/>
        <v>0</v>
      </c>
      <c r="I93" s="171">
        <f t="shared" si="28"/>
        <v>0</v>
      </c>
    </row>
    <row r="94" spans="1:9">
      <c r="A94" s="77">
        <f t="shared" si="27"/>
        <v>0</v>
      </c>
      <c r="B94" s="201"/>
      <c r="C94" s="171">
        <f t="shared" ref="C94:I94" si="29">$B94*C41</f>
        <v>0</v>
      </c>
      <c r="D94" s="171">
        <f t="shared" si="29"/>
        <v>0</v>
      </c>
      <c r="E94" s="171">
        <f t="shared" si="29"/>
        <v>0</v>
      </c>
      <c r="F94" s="171">
        <f t="shared" si="29"/>
        <v>0</v>
      </c>
      <c r="G94" s="171">
        <f t="shared" si="29"/>
        <v>0</v>
      </c>
      <c r="H94" s="171">
        <f t="shared" si="29"/>
        <v>0</v>
      </c>
      <c r="I94" s="171">
        <f t="shared" si="29"/>
        <v>0</v>
      </c>
    </row>
    <row r="95" spans="1:9">
      <c r="A95" s="77" t="str">
        <f t="shared" si="27"/>
        <v>Onion</v>
      </c>
      <c r="B95" s="201"/>
      <c r="C95" s="171">
        <f t="shared" ref="C95:I95" si="30">$B95*C42</f>
        <v>0</v>
      </c>
      <c r="D95" s="171">
        <f t="shared" si="30"/>
        <v>0</v>
      </c>
      <c r="E95" s="171">
        <f t="shared" si="30"/>
        <v>0</v>
      </c>
      <c r="F95" s="171">
        <f t="shared" si="30"/>
        <v>0</v>
      </c>
      <c r="G95" s="171">
        <f t="shared" si="30"/>
        <v>0</v>
      </c>
      <c r="H95" s="171">
        <f t="shared" si="30"/>
        <v>0</v>
      </c>
      <c r="I95" s="171">
        <f t="shared" si="30"/>
        <v>0</v>
      </c>
    </row>
    <row r="96" spans="1:9">
      <c r="A96" s="77" t="str">
        <f t="shared" si="27"/>
        <v>Tomato</v>
      </c>
      <c r="B96" s="201"/>
      <c r="C96" s="171">
        <f t="shared" ref="C96:I96" si="31">$B96*C43</f>
        <v>0</v>
      </c>
      <c r="D96" s="171">
        <f t="shared" si="31"/>
        <v>0</v>
      </c>
      <c r="E96" s="171">
        <f t="shared" si="31"/>
        <v>0</v>
      </c>
      <c r="F96" s="171">
        <f t="shared" si="31"/>
        <v>0</v>
      </c>
      <c r="G96" s="171">
        <f t="shared" si="31"/>
        <v>0</v>
      </c>
      <c r="H96" s="171">
        <f t="shared" si="31"/>
        <v>0</v>
      </c>
      <c r="I96" s="171">
        <f t="shared" si="31"/>
        <v>0</v>
      </c>
    </row>
    <row r="97" spans="1:9">
      <c r="A97" s="77" t="str">
        <f t="shared" si="27"/>
        <v>Okra</v>
      </c>
      <c r="B97" s="201"/>
      <c r="C97" s="171">
        <f t="shared" ref="C97:I97" si="32">$B97*C44</f>
        <v>0</v>
      </c>
      <c r="D97" s="171">
        <f t="shared" si="32"/>
        <v>0</v>
      </c>
      <c r="E97" s="171">
        <f t="shared" si="32"/>
        <v>0</v>
      </c>
      <c r="F97" s="171">
        <f t="shared" si="32"/>
        <v>0</v>
      </c>
      <c r="G97" s="171">
        <f t="shared" si="32"/>
        <v>0</v>
      </c>
      <c r="H97" s="171">
        <f t="shared" si="32"/>
        <v>0</v>
      </c>
      <c r="I97" s="171">
        <f t="shared" si="32"/>
        <v>0</v>
      </c>
    </row>
    <row r="98" spans="1:9">
      <c r="A98" s="77" t="str">
        <f t="shared" si="27"/>
        <v>Chilli</v>
      </c>
      <c r="B98" s="201"/>
      <c r="C98" s="171">
        <f t="shared" ref="C98:I98" si="33">$B98*C45</f>
        <v>0</v>
      </c>
      <c r="D98" s="171">
        <f t="shared" si="33"/>
        <v>0</v>
      </c>
      <c r="E98" s="171">
        <f t="shared" si="33"/>
        <v>0</v>
      </c>
      <c r="F98" s="171">
        <f t="shared" si="33"/>
        <v>0</v>
      </c>
      <c r="G98" s="171">
        <f t="shared" si="33"/>
        <v>0</v>
      </c>
      <c r="H98" s="171">
        <f t="shared" si="33"/>
        <v>0</v>
      </c>
      <c r="I98" s="171">
        <f t="shared" si="33"/>
        <v>0</v>
      </c>
    </row>
    <row r="99" spans="1:9">
      <c r="A99" s="77" t="str">
        <f t="shared" si="27"/>
        <v>Brinjal</v>
      </c>
      <c r="B99" s="201"/>
      <c r="C99" s="171">
        <f t="shared" ref="C99:I99" si="34">$B99*C46</f>
        <v>0</v>
      </c>
      <c r="D99" s="171">
        <f t="shared" si="34"/>
        <v>0</v>
      </c>
      <c r="E99" s="171">
        <f t="shared" si="34"/>
        <v>0</v>
      </c>
      <c r="F99" s="171">
        <f t="shared" si="34"/>
        <v>0</v>
      </c>
      <c r="G99" s="171">
        <f t="shared" si="34"/>
        <v>0</v>
      </c>
      <c r="H99" s="171">
        <f t="shared" si="34"/>
        <v>0</v>
      </c>
      <c r="I99" s="171">
        <f t="shared" si="34"/>
        <v>0</v>
      </c>
    </row>
    <row r="100" spans="1:9">
      <c r="A100" s="77">
        <f t="shared" si="27"/>
        <v>0</v>
      </c>
      <c r="B100" s="201"/>
      <c r="C100" s="171">
        <f t="shared" ref="C100:I100" si="35">$B100*C47</f>
        <v>0</v>
      </c>
      <c r="D100" s="171">
        <f t="shared" si="35"/>
        <v>0</v>
      </c>
      <c r="E100" s="171">
        <f t="shared" si="35"/>
        <v>0</v>
      </c>
      <c r="F100" s="171">
        <f t="shared" si="35"/>
        <v>0</v>
      </c>
      <c r="G100" s="171">
        <f t="shared" si="35"/>
        <v>0</v>
      </c>
      <c r="H100" s="171">
        <f t="shared" si="35"/>
        <v>0</v>
      </c>
      <c r="I100" s="171">
        <f t="shared" si="35"/>
        <v>0</v>
      </c>
    </row>
    <row r="101" spans="1:9">
      <c r="A101" s="77">
        <f t="shared" si="27"/>
        <v>0</v>
      </c>
      <c r="B101" s="201"/>
      <c r="C101" s="171">
        <f t="shared" ref="C101:I101" si="36">$B101*C48</f>
        <v>0</v>
      </c>
      <c r="D101" s="171">
        <f t="shared" si="36"/>
        <v>0</v>
      </c>
      <c r="E101" s="171">
        <f t="shared" si="36"/>
        <v>0</v>
      </c>
      <c r="F101" s="171">
        <f t="shared" si="36"/>
        <v>0</v>
      </c>
      <c r="G101" s="171">
        <f t="shared" si="36"/>
        <v>0</v>
      </c>
      <c r="H101" s="171">
        <f t="shared" si="36"/>
        <v>0</v>
      </c>
      <c r="I101" s="171">
        <f t="shared" si="36"/>
        <v>0</v>
      </c>
    </row>
    <row r="102" spans="1:9">
      <c r="A102" s="77">
        <f t="shared" si="27"/>
        <v>0</v>
      </c>
      <c r="B102" s="201"/>
      <c r="C102" s="171">
        <f t="shared" ref="C102:I102" si="37">$B102*C49</f>
        <v>0</v>
      </c>
      <c r="D102" s="171">
        <f t="shared" si="37"/>
        <v>0</v>
      </c>
      <c r="E102" s="171">
        <f t="shared" si="37"/>
        <v>0</v>
      </c>
      <c r="F102" s="171">
        <f t="shared" si="37"/>
        <v>0</v>
      </c>
      <c r="G102" s="171">
        <f t="shared" si="37"/>
        <v>0</v>
      </c>
      <c r="H102" s="171">
        <f t="shared" si="37"/>
        <v>0</v>
      </c>
      <c r="I102" s="171">
        <f t="shared" si="37"/>
        <v>0</v>
      </c>
    </row>
    <row r="103" spans="1:9">
      <c r="A103" s="77">
        <f t="shared" si="27"/>
        <v>0</v>
      </c>
      <c r="B103" s="201"/>
      <c r="C103" s="171">
        <f t="shared" ref="C103:I103" si="38">$B103*C50</f>
        <v>0</v>
      </c>
      <c r="D103" s="171">
        <f t="shared" si="38"/>
        <v>0</v>
      </c>
      <c r="E103" s="171">
        <f t="shared" si="38"/>
        <v>0</v>
      </c>
      <c r="F103" s="171">
        <f t="shared" si="38"/>
        <v>0</v>
      </c>
      <c r="G103" s="171">
        <f t="shared" si="38"/>
        <v>0</v>
      </c>
      <c r="H103" s="171">
        <f t="shared" si="38"/>
        <v>0</v>
      </c>
      <c r="I103" s="171">
        <f t="shared" si="38"/>
        <v>0</v>
      </c>
    </row>
    <row r="104" spans="1:9">
      <c r="A104" s="77">
        <f t="shared" si="27"/>
        <v>0</v>
      </c>
      <c r="B104" s="201"/>
      <c r="C104" s="171">
        <f t="shared" ref="C104:I104" si="39">$B104*C51</f>
        <v>0</v>
      </c>
      <c r="D104" s="171">
        <f t="shared" si="39"/>
        <v>0</v>
      </c>
      <c r="E104" s="171">
        <f t="shared" si="39"/>
        <v>0</v>
      </c>
      <c r="F104" s="171">
        <f t="shared" si="39"/>
        <v>0</v>
      </c>
      <c r="G104" s="171">
        <f t="shared" si="39"/>
        <v>0</v>
      </c>
      <c r="H104" s="171">
        <f t="shared" si="39"/>
        <v>0</v>
      </c>
      <c r="I104" s="171">
        <f t="shared" si="39"/>
        <v>0</v>
      </c>
    </row>
    <row r="105" spans="1:9">
      <c r="A105" s="77">
        <f t="shared" si="27"/>
        <v>0</v>
      </c>
      <c r="B105" s="201"/>
      <c r="C105" s="171">
        <f t="shared" ref="C105:I105" si="40">$B105*C52</f>
        <v>0</v>
      </c>
      <c r="D105" s="171">
        <f t="shared" si="40"/>
        <v>0</v>
      </c>
      <c r="E105" s="171">
        <f t="shared" si="40"/>
        <v>0</v>
      </c>
      <c r="F105" s="171">
        <f t="shared" si="40"/>
        <v>0</v>
      </c>
      <c r="G105" s="171">
        <f t="shared" si="40"/>
        <v>0</v>
      </c>
      <c r="H105" s="171">
        <f t="shared" si="40"/>
        <v>0</v>
      </c>
      <c r="I105" s="171">
        <f t="shared" si="40"/>
        <v>0</v>
      </c>
    </row>
    <row r="106" spans="1:9">
      <c r="A106" s="77">
        <f t="shared" si="27"/>
        <v>0</v>
      </c>
      <c r="B106" s="201"/>
      <c r="C106" s="171">
        <f t="shared" ref="C106:I106" si="41">$B106*C53</f>
        <v>0</v>
      </c>
      <c r="D106" s="171">
        <f t="shared" si="41"/>
        <v>0</v>
      </c>
      <c r="E106" s="171">
        <f t="shared" si="41"/>
        <v>0</v>
      </c>
      <c r="F106" s="171">
        <f t="shared" si="41"/>
        <v>0</v>
      </c>
      <c r="G106" s="171">
        <f t="shared" si="41"/>
        <v>0</v>
      </c>
      <c r="H106" s="171">
        <f t="shared" si="41"/>
        <v>0</v>
      </c>
      <c r="I106" s="171">
        <f t="shared" si="41"/>
        <v>0</v>
      </c>
    </row>
    <row r="107" spans="1:9">
      <c r="A107" s="77" t="str">
        <f t="shared" si="27"/>
        <v>Pomegranate</v>
      </c>
      <c r="B107" s="201"/>
      <c r="C107" s="171">
        <f t="shared" ref="C107:I107" si="42">$B107*C54</f>
        <v>0</v>
      </c>
      <c r="D107" s="171">
        <f t="shared" si="42"/>
        <v>0</v>
      </c>
      <c r="E107" s="171">
        <f t="shared" si="42"/>
        <v>0</v>
      </c>
      <c r="F107" s="171">
        <f t="shared" si="42"/>
        <v>0</v>
      </c>
      <c r="G107" s="171">
        <f t="shared" si="42"/>
        <v>0</v>
      </c>
      <c r="H107" s="171">
        <f t="shared" si="42"/>
        <v>0</v>
      </c>
      <c r="I107" s="171">
        <f t="shared" si="42"/>
        <v>0</v>
      </c>
    </row>
    <row r="108" spans="1:9">
      <c r="A108" s="77" t="str">
        <f t="shared" si="27"/>
        <v>Custard Apple</v>
      </c>
      <c r="B108" s="201"/>
      <c r="C108" s="171">
        <f t="shared" ref="C108:I108" si="43">$B108*C55</f>
        <v>0</v>
      </c>
      <c r="D108" s="171">
        <f t="shared" si="43"/>
        <v>0</v>
      </c>
      <c r="E108" s="171">
        <f t="shared" si="43"/>
        <v>0</v>
      </c>
      <c r="F108" s="171">
        <f t="shared" si="43"/>
        <v>0</v>
      </c>
      <c r="G108" s="171">
        <f t="shared" si="43"/>
        <v>0</v>
      </c>
      <c r="H108" s="171">
        <f t="shared" si="43"/>
        <v>0</v>
      </c>
      <c r="I108" s="171">
        <f t="shared" si="43"/>
        <v>0</v>
      </c>
    </row>
    <row r="109" spans="1:9">
      <c r="A109" s="77" t="str">
        <f t="shared" si="27"/>
        <v>Guava</v>
      </c>
      <c r="B109" s="201"/>
      <c r="C109" s="171">
        <f t="shared" ref="C109:I109" si="44">$B109*C56</f>
        <v>0</v>
      </c>
      <c r="D109" s="171">
        <f t="shared" si="44"/>
        <v>0</v>
      </c>
      <c r="E109" s="171">
        <f t="shared" si="44"/>
        <v>0</v>
      </c>
      <c r="F109" s="171">
        <f t="shared" si="44"/>
        <v>0</v>
      </c>
      <c r="G109" s="171">
        <f t="shared" si="44"/>
        <v>0</v>
      </c>
      <c r="H109" s="171">
        <f t="shared" si="44"/>
        <v>0</v>
      </c>
      <c r="I109" s="171">
        <f t="shared" si="44"/>
        <v>0</v>
      </c>
    </row>
    <row r="110" spans="1:9">
      <c r="A110" s="77" t="str">
        <f t="shared" si="27"/>
        <v>Citrus</v>
      </c>
      <c r="B110" s="201"/>
      <c r="C110" s="171">
        <f t="shared" ref="C110:I110" si="45">$B110*C57</f>
        <v>0</v>
      </c>
      <c r="D110" s="171">
        <f t="shared" si="45"/>
        <v>0</v>
      </c>
      <c r="E110" s="171">
        <f t="shared" si="45"/>
        <v>0</v>
      </c>
      <c r="F110" s="171">
        <f t="shared" si="45"/>
        <v>0</v>
      </c>
      <c r="G110" s="171">
        <f t="shared" si="45"/>
        <v>0</v>
      </c>
      <c r="H110" s="171">
        <f t="shared" si="45"/>
        <v>0</v>
      </c>
      <c r="I110" s="171">
        <f t="shared" si="45"/>
        <v>0</v>
      </c>
    </row>
    <row r="111" spans="1:9">
      <c r="A111" s="77"/>
      <c r="B111" s="201"/>
      <c r="C111" s="171"/>
      <c r="D111" s="171"/>
      <c r="E111" s="171"/>
      <c r="F111" s="171"/>
      <c r="G111" s="171"/>
      <c r="H111" s="171"/>
      <c r="I111" s="171"/>
    </row>
    <row r="112" spans="1:9">
      <c r="A112" s="77"/>
      <c r="B112" s="201"/>
      <c r="C112" s="171"/>
      <c r="D112" s="171"/>
      <c r="E112" s="171"/>
      <c r="F112" s="171"/>
      <c r="G112" s="171"/>
      <c r="H112" s="171"/>
      <c r="I112" s="171"/>
    </row>
    <row r="113" spans="1:23">
      <c r="A113" s="79" t="s">
        <v>185</v>
      </c>
      <c r="B113" s="77"/>
      <c r="C113" s="77"/>
      <c r="D113" s="77"/>
      <c r="E113" s="77"/>
      <c r="F113" s="77"/>
      <c r="G113" s="77"/>
      <c r="H113" s="77"/>
      <c r="I113" s="77"/>
    </row>
    <row r="114" spans="1:23">
      <c r="A114" s="77" t="s">
        <v>413</v>
      </c>
      <c r="B114" s="201">
        <v>100</v>
      </c>
      <c r="C114" s="171">
        <f>SUM(C62:C110)*$B$114</f>
        <v>0</v>
      </c>
      <c r="D114" s="171">
        <f t="shared" ref="D114:I114" si="46">SUM(D62:D110)*$B$114</f>
        <v>0</v>
      </c>
      <c r="E114" s="171">
        <f t="shared" si="46"/>
        <v>0</v>
      </c>
      <c r="F114" s="171">
        <f t="shared" si="46"/>
        <v>0</v>
      </c>
      <c r="G114" s="171">
        <f t="shared" si="46"/>
        <v>0</v>
      </c>
      <c r="H114" s="171">
        <f t="shared" si="46"/>
        <v>0</v>
      </c>
      <c r="I114" s="171">
        <f t="shared" si="46"/>
        <v>0</v>
      </c>
    </row>
    <row r="115" spans="1:23">
      <c r="A115" s="77" t="s">
        <v>179</v>
      </c>
      <c r="B115" s="201">
        <v>30</v>
      </c>
      <c r="C115" s="171">
        <f>SUM(C62:C110)*$B$115</f>
        <v>0</v>
      </c>
      <c r="D115" s="171">
        <f t="shared" ref="D115:I115" si="47">SUM(D62:D110)*$B$115</f>
        <v>0</v>
      </c>
      <c r="E115" s="171">
        <f t="shared" si="47"/>
        <v>0</v>
      </c>
      <c r="F115" s="171">
        <f t="shared" si="47"/>
        <v>0</v>
      </c>
      <c r="G115" s="171">
        <f t="shared" si="47"/>
        <v>0</v>
      </c>
      <c r="H115" s="171">
        <f t="shared" si="47"/>
        <v>0</v>
      </c>
      <c r="I115" s="171">
        <f t="shared" si="47"/>
        <v>0</v>
      </c>
    </row>
    <row r="116" spans="1:23">
      <c r="A116" s="77" t="s">
        <v>181</v>
      </c>
      <c r="B116" s="201">
        <v>30</v>
      </c>
      <c r="C116" s="171">
        <f>SUM(C62:C110)*$B$116</f>
        <v>0</v>
      </c>
      <c r="D116" s="171">
        <f t="shared" ref="D116:I116" si="48">SUM(D62:D110)*$B$116</f>
        <v>0</v>
      </c>
      <c r="E116" s="171">
        <f t="shared" si="48"/>
        <v>0</v>
      </c>
      <c r="F116" s="171">
        <f t="shared" si="48"/>
        <v>0</v>
      </c>
      <c r="G116" s="171">
        <f t="shared" si="48"/>
        <v>0</v>
      </c>
      <c r="H116" s="171">
        <f t="shared" si="48"/>
        <v>0</v>
      </c>
      <c r="I116" s="171">
        <f t="shared" si="48"/>
        <v>0</v>
      </c>
    </row>
    <row r="117" spans="1:23">
      <c r="A117" s="79" t="s">
        <v>180</v>
      </c>
      <c r="B117" s="201"/>
      <c r="C117" s="77"/>
      <c r="D117" s="77"/>
      <c r="E117" s="77"/>
      <c r="F117" s="77"/>
      <c r="G117" s="77"/>
      <c r="H117" s="77"/>
      <c r="I117" s="77"/>
    </row>
    <row r="118" spans="1:23">
      <c r="A118" s="77" t="s">
        <v>186</v>
      </c>
      <c r="B118" s="201">
        <v>0.2</v>
      </c>
      <c r="C118" s="171">
        <f>SUM(C62:C110)*$B$118</f>
        <v>0</v>
      </c>
      <c r="D118" s="171">
        <f t="shared" ref="D118:I118" si="49">SUM(D62:D110)*$B$118</f>
        <v>0</v>
      </c>
      <c r="E118" s="171">
        <f t="shared" si="49"/>
        <v>0</v>
      </c>
      <c r="F118" s="171">
        <f t="shared" si="49"/>
        <v>0</v>
      </c>
      <c r="G118" s="171">
        <f t="shared" si="49"/>
        <v>0</v>
      </c>
      <c r="H118" s="171">
        <f t="shared" si="49"/>
        <v>0</v>
      </c>
      <c r="I118" s="171">
        <f t="shared" si="49"/>
        <v>0</v>
      </c>
    </row>
    <row r="119" spans="1:23">
      <c r="A119" s="77" t="s">
        <v>187</v>
      </c>
      <c r="B119" s="201">
        <v>0.5</v>
      </c>
      <c r="C119" s="171">
        <f>SUM(C62:C110)*$B$119</f>
        <v>0</v>
      </c>
      <c r="D119" s="171">
        <f t="shared" ref="D119:I119" si="50">SUM(D62:D110)*$B$119</f>
        <v>0</v>
      </c>
      <c r="E119" s="171">
        <f t="shared" si="50"/>
        <v>0</v>
      </c>
      <c r="F119" s="171">
        <f t="shared" si="50"/>
        <v>0</v>
      </c>
      <c r="G119" s="171">
        <f t="shared" si="50"/>
        <v>0</v>
      </c>
      <c r="H119" s="171">
        <f t="shared" si="50"/>
        <v>0</v>
      </c>
      <c r="I119" s="171">
        <f t="shared" si="50"/>
        <v>0</v>
      </c>
    </row>
    <row r="122" spans="1:23" ht="18.75">
      <c r="A122" s="362" t="s">
        <v>600</v>
      </c>
      <c r="B122" s="362"/>
      <c r="C122" s="362"/>
      <c r="D122" s="362"/>
      <c r="E122" s="362"/>
      <c r="F122" s="362"/>
      <c r="G122" s="362"/>
      <c r="H122" s="362"/>
      <c r="I122" s="362"/>
      <c r="J122" s="362"/>
    </row>
    <row r="123" spans="1:23">
      <c r="A123" s="12"/>
      <c r="B123" s="12"/>
      <c r="C123" s="12"/>
      <c r="D123" s="12"/>
      <c r="E123" s="12"/>
      <c r="F123" s="12"/>
      <c r="G123" s="12"/>
      <c r="H123" s="12"/>
    </row>
    <row r="124" spans="1:23">
      <c r="A124" s="166"/>
      <c r="B124" s="166"/>
      <c r="C124" s="166"/>
      <c r="D124" s="167">
        <v>1</v>
      </c>
      <c r="E124" s="168">
        <f>(D124*5%)+D124</f>
        <v>1.05</v>
      </c>
      <c r="F124" s="168">
        <f t="shared" ref="F124:J124" si="51">(E124*5%)+E124</f>
        <v>1.1025</v>
      </c>
      <c r="G124" s="168">
        <f t="shared" si="51"/>
        <v>1.1576250000000001</v>
      </c>
      <c r="H124" s="168">
        <f t="shared" si="51"/>
        <v>1.2155062500000002</v>
      </c>
      <c r="I124" s="168">
        <f t="shared" si="51"/>
        <v>1.2762815625000004</v>
      </c>
      <c r="J124" s="168">
        <f t="shared" si="51"/>
        <v>1.3400956406250004</v>
      </c>
      <c r="K124" s="76"/>
      <c r="U124" s="76"/>
      <c r="V124" s="76"/>
      <c r="W124" s="76"/>
    </row>
    <row r="125" spans="1:23">
      <c r="A125" s="76"/>
      <c r="B125" s="76"/>
      <c r="C125" s="76"/>
      <c r="D125" s="76"/>
      <c r="E125" s="76"/>
      <c r="F125" s="76"/>
      <c r="G125" s="76"/>
      <c r="H125" s="76"/>
      <c r="I125" s="76"/>
      <c r="J125" s="76"/>
      <c r="K125" s="76"/>
      <c r="U125" s="76"/>
      <c r="V125" s="76"/>
      <c r="W125" s="76"/>
    </row>
    <row r="126" spans="1:23">
      <c r="A126" s="128" t="s">
        <v>0</v>
      </c>
      <c r="B126" s="128" t="s">
        <v>133</v>
      </c>
      <c r="C126" s="128" t="s">
        <v>152</v>
      </c>
      <c r="D126" s="100" t="s">
        <v>2</v>
      </c>
      <c r="E126" s="100" t="s">
        <v>3</v>
      </c>
      <c r="F126" s="100" t="s">
        <v>4</v>
      </c>
      <c r="G126" s="100" t="s">
        <v>5</v>
      </c>
      <c r="H126" s="100" t="s">
        <v>6</v>
      </c>
      <c r="I126" s="100" t="s">
        <v>169</v>
      </c>
      <c r="J126" s="100" t="s">
        <v>168</v>
      </c>
      <c r="K126" s="76"/>
      <c r="U126" s="76"/>
      <c r="V126" s="76"/>
      <c r="W126" s="76"/>
    </row>
    <row r="127" spans="1:23">
      <c r="A127" s="79" t="s">
        <v>127</v>
      </c>
      <c r="B127" s="77"/>
      <c r="C127" s="77"/>
      <c r="D127" s="77"/>
      <c r="E127" s="77"/>
      <c r="F127" s="77"/>
      <c r="G127" s="77"/>
      <c r="H127" s="77"/>
      <c r="I127" s="77"/>
      <c r="J127" s="77"/>
      <c r="K127" s="76"/>
      <c r="U127" s="76"/>
      <c r="V127" s="76"/>
      <c r="W127" s="76"/>
    </row>
    <row r="128" spans="1:23">
      <c r="A128" s="77" t="s">
        <v>287</v>
      </c>
      <c r="B128" s="77"/>
      <c r="C128" s="77"/>
      <c r="D128" s="77"/>
      <c r="E128" s="77"/>
      <c r="F128" s="77"/>
      <c r="G128" s="77"/>
      <c r="H128" s="77"/>
      <c r="I128" s="77"/>
      <c r="J128" s="77"/>
      <c r="K128" s="76"/>
      <c r="U128" s="76"/>
      <c r="V128" s="76"/>
      <c r="W128" s="76"/>
    </row>
    <row r="129" spans="1:23">
      <c r="A129" s="79" t="str">
        <f t="shared" ref="A129:A160" si="52">A8</f>
        <v>Kharif Crops</v>
      </c>
      <c r="B129" s="77"/>
      <c r="C129" s="77"/>
      <c r="D129" s="77"/>
      <c r="E129" s="77"/>
      <c r="F129" s="77"/>
      <c r="G129" s="77"/>
      <c r="H129" s="77"/>
      <c r="I129" s="77"/>
      <c r="J129" s="77"/>
      <c r="K129" s="76"/>
      <c r="U129" s="76"/>
      <c r="V129" s="76"/>
      <c r="W129" s="76"/>
    </row>
    <row r="130" spans="1:23">
      <c r="A130" s="77" t="str">
        <f t="shared" si="52"/>
        <v>Soybean</v>
      </c>
      <c r="B130" s="77"/>
      <c r="C130" s="201">
        <v>90</v>
      </c>
      <c r="D130" s="78">
        <f>(C62*(1-'5.Closing Stock &amp; W Capital'!$D$15))*$C$130*D$124</f>
        <v>0</v>
      </c>
      <c r="E130" s="78">
        <f>(D62*(1-'5.Closing Stock &amp; W Capital'!$D$15))*$C$130*E$124</f>
        <v>0</v>
      </c>
      <c r="F130" s="78">
        <f>(E62*(1-'5.Closing Stock &amp; W Capital'!$D$15))*$C$130*F$124</f>
        <v>0</v>
      </c>
      <c r="G130" s="78">
        <f>(F62*(1-'5.Closing Stock &amp; W Capital'!$D$15))*$C$130*G$124</f>
        <v>0</v>
      </c>
      <c r="H130" s="78">
        <f>(G62*(1-'5.Closing Stock &amp; W Capital'!$D$15))*$C$130*H$124</f>
        <v>0</v>
      </c>
      <c r="I130" s="78">
        <f>(H62*(1-'5.Closing Stock &amp; W Capital'!$D$15))*$C$130*I$124</f>
        <v>0</v>
      </c>
      <c r="J130" s="78">
        <f>(I62*(1-'5.Closing Stock &amp; W Capital'!$D$15))*$C$130*J$124</f>
        <v>0</v>
      </c>
      <c r="K130" s="76"/>
      <c r="U130" s="76"/>
      <c r="V130" s="76"/>
      <c r="W130" s="76"/>
    </row>
    <row r="131" spans="1:23">
      <c r="A131" s="77" t="str">
        <f t="shared" si="52"/>
        <v>Red Gram/Tur</v>
      </c>
      <c r="B131" s="77"/>
      <c r="C131" s="225">
        <v>80</v>
      </c>
      <c r="D131" s="78">
        <f>(C63*(1-'5.Closing Stock &amp; W Capital'!$D$15))*$C$131*D$124</f>
        <v>0</v>
      </c>
      <c r="E131" s="78">
        <f>((D63*(1-'5.Closing Stock &amp; W Capital'!$D$15))+(C63*'5.Closing Stock &amp; W Capital'!$D$15))*$C$131*E$124</f>
        <v>0</v>
      </c>
      <c r="F131" s="78">
        <f>((E63*(1-'5.Closing Stock &amp; W Capital'!$D$15))+(D63*'5.Closing Stock &amp; W Capital'!$D$15))*$C$131*F$124</f>
        <v>0</v>
      </c>
      <c r="G131" s="78">
        <f>((F63*(1-'5.Closing Stock &amp; W Capital'!$D$15))+(E63*'5.Closing Stock &amp; W Capital'!$D$15))*$C$131*G124</f>
        <v>0</v>
      </c>
      <c r="H131" s="78">
        <f>((G63*(1-'5.Closing Stock &amp; W Capital'!$D$15))+(F63*'5.Closing Stock &amp; W Capital'!$D$15))*$C$131*H124</f>
        <v>0</v>
      </c>
      <c r="I131" s="78">
        <f>((H63*(1-'5.Closing Stock &amp; W Capital'!$D$15))+(G63*'5.Closing Stock &amp; W Capital'!$D$15))*$C$131*I124</f>
        <v>0</v>
      </c>
      <c r="J131" s="78">
        <f>((I63*(1-'5.Closing Stock &amp; W Capital'!$D$15))+(H63*'5.Closing Stock &amp; W Capital'!$D$15))*$C$131*J124</f>
        <v>0</v>
      </c>
      <c r="K131" s="76"/>
      <c r="U131" s="158"/>
      <c r="V131" s="76"/>
      <c r="W131" s="76"/>
    </row>
    <row r="132" spans="1:23">
      <c r="A132" s="77" t="str">
        <f t="shared" si="52"/>
        <v>Paddy/Rice</v>
      </c>
      <c r="B132" s="77"/>
      <c r="C132" s="225">
        <v>65</v>
      </c>
      <c r="D132" s="78">
        <f>(C64*(1-'5.Closing Stock &amp; W Capital'!$D$15))*$C$132*D$124</f>
        <v>0</v>
      </c>
      <c r="E132" s="78">
        <f>((D64*(1-'5.Closing Stock &amp; W Capital'!$D$15))+(C64*'5.Closing Stock &amp; W Capital'!$D$15))*$C$132*E$124</f>
        <v>0</v>
      </c>
      <c r="F132" s="78">
        <f>((E64*(1-'5.Closing Stock &amp; W Capital'!$D$15))+(D64*'5.Closing Stock &amp; W Capital'!$D$15))*$C$132*F$124</f>
        <v>0</v>
      </c>
      <c r="G132" s="78">
        <f>((F64*(1-'5.Closing Stock &amp; W Capital'!$D$15))+(E64*'5.Closing Stock &amp; W Capital'!$D$15))*$C$132*G124</f>
        <v>0</v>
      </c>
      <c r="H132" s="78">
        <f>((G64*(1-'5.Closing Stock &amp; W Capital'!$D$15))+(F64*'5.Closing Stock &amp; W Capital'!$D$15))*$C$132*H124</f>
        <v>0</v>
      </c>
      <c r="I132" s="78">
        <f>((H64*(1-'5.Closing Stock &amp; W Capital'!$D$15))+(G64*'5.Closing Stock &amp; W Capital'!$D$15))*$C$132*I124</f>
        <v>0</v>
      </c>
      <c r="J132" s="78">
        <f>((I64*(1-'5.Closing Stock &amp; W Capital'!$D$15))+(H64*'5.Closing Stock &amp; W Capital'!$D$15))*$C$132*J124</f>
        <v>0</v>
      </c>
      <c r="K132" s="76"/>
      <c r="U132" s="76"/>
      <c r="V132" s="76"/>
      <c r="W132" s="76"/>
    </row>
    <row r="133" spans="1:23">
      <c r="A133" s="77" t="str">
        <f t="shared" si="52"/>
        <v>Green Gram/ Moong</v>
      </c>
      <c r="B133" s="77"/>
      <c r="C133" s="225">
        <v>85</v>
      </c>
      <c r="D133" s="78">
        <f>(C65*(1-'5.Closing Stock &amp; W Capital'!$D$15))*$C$133*D$124</f>
        <v>0</v>
      </c>
      <c r="E133" s="78">
        <f>((D65*(1-'5.Closing Stock &amp; W Capital'!$D$15))+(C65*'5.Closing Stock &amp; W Capital'!$D$15))*$C$133*E$124</f>
        <v>0</v>
      </c>
      <c r="F133" s="78">
        <f>((E65*(1-'5.Closing Stock &amp; W Capital'!$D$15))+(D65*'5.Closing Stock &amp; W Capital'!$D$15))*$C$133*F$124</f>
        <v>0</v>
      </c>
      <c r="G133" s="78">
        <f>((F65*(1-'5.Closing Stock &amp; W Capital'!$D$15))+(E65*'5.Closing Stock &amp; W Capital'!$D$15))*$C$133*G$124</f>
        <v>0</v>
      </c>
      <c r="H133" s="78">
        <f>((G65*(1-'5.Closing Stock &amp; W Capital'!$D$15))+(F65*'5.Closing Stock &amp; W Capital'!$D$15))*$C$133*H$124</f>
        <v>0</v>
      </c>
      <c r="I133" s="78">
        <f>((H65*(1-'5.Closing Stock &amp; W Capital'!$D$15))+(G65*'5.Closing Stock &amp; W Capital'!$D$15))*$C$133*I$124</f>
        <v>0</v>
      </c>
      <c r="J133" s="78">
        <f>((I65*(1-'5.Closing Stock &amp; W Capital'!$D$15))+(H65*'5.Closing Stock &amp; W Capital'!$D$15))*$C$133*J$124</f>
        <v>0</v>
      </c>
      <c r="K133" s="76"/>
      <c r="U133" s="76"/>
      <c r="V133" s="76"/>
      <c r="W133" s="76"/>
    </row>
    <row r="134" spans="1:23">
      <c r="A134" s="77" t="str">
        <f t="shared" si="52"/>
        <v>Maize</v>
      </c>
      <c r="B134" s="77"/>
      <c r="C134" s="225">
        <v>37</v>
      </c>
      <c r="D134" s="78">
        <f>(C66*(1-'5.Closing Stock &amp; W Capital'!$D$15))*$C$134*D$124</f>
        <v>0</v>
      </c>
      <c r="E134" s="78">
        <f>((D66*(1-'5.Closing Stock &amp; W Capital'!$D$15))+(C66*'5.Closing Stock &amp; W Capital'!$D$15))*$C$135*E$124</f>
        <v>0</v>
      </c>
      <c r="F134" s="78">
        <f>((E66*(1-'5.Closing Stock &amp; W Capital'!$D$15))+(D66*'5.Closing Stock &amp; W Capital'!$D$15))*$C$135*F$124</f>
        <v>0</v>
      </c>
      <c r="G134" s="78">
        <f>((F66*(1-'5.Closing Stock &amp; W Capital'!$D$15))+(E66*'5.Closing Stock &amp; W Capital'!$D$15))*$C$135*G$124</f>
        <v>0</v>
      </c>
      <c r="H134" s="78">
        <f>((G66*(1-'5.Closing Stock &amp; W Capital'!$D$15))+(F66*'5.Closing Stock &amp; W Capital'!$D$15))*$C$135*H$124</f>
        <v>0</v>
      </c>
      <c r="I134" s="78">
        <f>((H66*(1-'5.Closing Stock &amp; W Capital'!$D$15))+(G66*'5.Closing Stock &amp; W Capital'!$D$15))*$C$135*I$124</f>
        <v>0</v>
      </c>
      <c r="J134" s="78">
        <f>((I66*(1-'5.Closing Stock &amp; W Capital'!$D$15))+(H66*'5.Closing Stock &amp; W Capital'!$D$15))*$C$135*J$124</f>
        <v>0</v>
      </c>
      <c r="K134" s="76"/>
      <c r="U134" s="76"/>
      <c r="V134" s="76"/>
      <c r="W134" s="76"/>
    </row>
    <row r="135" spans="1:23">
      <c r="A135" s="77" t="str">
        <f t="shared" si="52"/>
        <v>Black Gram/Udid</v>
      </c>
      <c r="B135" s="77"/>
      <c r="C135" s="225">
        <v>75</v>
      </c>
      <c r="D135" s="78">
        <f>(C67*(1-'5.Closing Stock &amp; W Capital'!$D$15))*$C$135*D$124</f>
        <v>0</v>
      </c>
      <c r="E135" s="78">
        <f>((D67*(1-'5.Closing Stock &amp; W Capital'!$D$15))+(C67*'5.Closing Stock &amp; W Capital'!$D$15))*$C$135*E$124</f>
        <v>0</v>
      </c>
      <c r="F135" s="78">
        <f>((E67*(1-'5.Closing Stock &amp; W Capital'!$D$15))+(D67*'5.Closing Stock &amp; W Capital'!$D$15))*$C$135*F$124</f>
        <v>0</v>
      </c>
      <c r="G135" s="78">
        <f>((F67*(1-'5.Closing Stock &amp; W Capital'!$D$15))+(E67*'5.Closing Stock &amp; W Capital'!$D$15))*$C$135*G$124</f>
        <v>0</v>
      </c>
      <c r="H135" s="78">
        <f>((G67*(1-'5.Closing Stock &amp; W Capital'!$D$15))+(F67*'5.Closing Stock &amp; W Capital'!$D$15))*$C$135*H$124</f>
        <v>0</v>
      </c>
      <c r="I135" s="78">
        <f>((H67*(1-'5.Closing Stock &amp; W Capital'!$D$15))+(G67*'5.Closing Stock &amp; W Capital'!$D$15))*$C$135*I$124</f>
        <v>0</v>
      </c>
      <c r="J135" s="78">
        <f>((I67*(1-'5.Closing Stock &amp; W Capital'!$D$15))+(H67*'5.Closing Stock &amp; W Capital'!$D$15))*$C$135*J$124</f>
        <v>0</v>
      </c>
      <c r="K135" s="76"/>
      <c r="U135" s="76"/>
      <c r="V135" s="76"/>
      <c r="W135" s="76"/>
    </row>
    <row r="136" spans="1:23">
      <c r="A136" s="77" t="str">
        <f t="shared" si="52"/>
        <v>Bajra</v>
      </c>
      <c r="B136" s="77"/>
      <c r="C136" s="225">
        <v>30</v>
      </c>
      <c r="D136" s="78">
        <f>(C68*(1-'5.Closing Stock &amp; W Capital'!$D$15))*$C$136*D$124</f>
        <v>0</v>
      </c>
      <c r="E136" s="78">
        <f>((D68*(1-'5.Closing Stock &amp; W Capital'!$D$15))+(C68*'5.Closing Stock &amp; W Capital'!$D$15))*$C$136*E$124</f>
        <v>0</v>
      </c>
      <c r="F136" s="78">
        <f>((E68*(1-'5.Closing Stock &amp; W Capital'!$D$15))+(D68*'5.Closing Stock &amp; W Capital'!$D$15))*$C$136*F$124</f>
        <v>0</v>
      </c>
      <c r="G136" s="78">
        <f>((F68*(1-'5.Closing Stock &amp; W Capital'!$D$15))+(E68*'5.Closing Stock &amp; W Capital'!$D$15))*$C$136*G$124</f>
        <v>0</v>
      </c>
      <c r="H136" s="78">
        <f>((G68*(1-'5.Closing Stock &amp; W Capital'!$D$15))+(F68*'5.Closing Stock &amp; W Capital'!$D$15))*$C$136*H$124</f>
        <v>0</v>
      </c>
      <c r="I136" s="78">
        <f>((H68*(1-'5.Closing Stock &amp; W Capital'!$D$15))+(G68*'5.Closing Stock &amp; W Capital'!$D$15))*$C$136*I$124</f>
        <v>0</v>
      </c>
      <c r="J136" s="78">
        <f>((I68*(1-'5.Closing Stock &amp; W Capital'!$D$15))+(H68*'5.Closing Stock &amp; W Capital'!$D$15))*$C$136*J$124</f>
        <v>0</v>
      </c>
      <c r="K136" s="76"/>
      <c r="U136" s="76"/>
      <c r="V136" s="76"/>
      <c r="W136" s="76"/>
    </row>
    <row r="137" spans="1:23">
      <c r="A137" s="77" t="str">
        <f t="shared" si="52"/>
        <v>Jawar</v>
      </c>
      <c r="B137" s="77"/>
      <c r="C137" s="225">
        <v>30</v>
      </c>
      <c r="D137" s="78">
        <f>(C69*(1-'5.Closing Stock &amp; W Capital'!$D$15))*$C$137*D$124</f>
        <v>0</v>
      </c>
      <c r="E137" s="78">
        <f>((D69*(1-'5.Closing Stock &amp; W Capital'!$D$15))+(C69*'5.Closing Stock &amp; W Capital'!$D$15))*$C$137*E$124</f>
        <v>0</v>
      </c>
      <c r="F137" s="78">
        <f>((E69*(1-'5.Closing Stock &amp; W Capital'!$D$15))+(D69*'5.Closing Stock &amp; W Capital'!$D$15))*$C$137*F$124</f>
        <v>0</v>
      </c>
      <c r="G137" s="78">
        <f>((F69*(1-'5.Closing Stock &amp; W Capital'!$D$15))+(E69*'5.Closing Stock &amp; W Capital'!$D$15))*$C$137*G$124</f>
        <v>0</v>
      </c>
      <c r="H137" s="78">
        <f>((G69*(1-'5.Closing Stock &amp; W Capital'!$D$15))+(F69*'5.Closing Stock &amp; W Capital'!$D$15))*$C$137*H$124</f>
        <v>0</v>
      </c>
      <c r="I137" s="78">
        <f>((H69*(1-'5.Closing Stock &amp; W Capital'!$D$15))+(G69*'5.Closing Stock &amp; W Capital'!$D$15))*$C$137*I$124</f>
        <v>0</v>
      </c>
      <c r="J137" s="78">
        <f>((I69*(1-'5.Closing Stock &amp; W Capital'!$D$15))+(H69*'5.Closing Stock &amp; W Capital'!$D$15))*$C$137*J$124</f>
        <v>0</v>
      </c>
      <c r="K137" s="76"/>
      <c r="U137" s="76"/>
      <c r="V137" s="76"/>
      <c r="W137" s="76"/>
    </row>
    <row r="138" spans="1:23">
      <c r="A138" s="79" t="str">
        <f t="shared" si="52"/>
        <v>Rabi Crop</v>
      </c>
      <c r="B138" s="77"/>
      <c r="C138" s="225"/>
      <c r="D138" s="78"/>
      <c r="E138" s="78"/>
      <c r="F138" s="78"/>
      <c r="G138" s="78"/>
      <c r="H138" s="78"/>
      <c r="I138" s="78"/>
      <c r="J138" s="78"/>
      <c r="K138" s="76"/>
      <c r="U138" s="76"/>
      <c r="V138" s="76"/>
      <c r="W138" s="76"/>
    </row>
    <row r="139" spans="1:23">
      <c r="A139" s="77" t="str">
        <f t="shared" si="52"/>
        <v>Wheat</v>
      </c>
      <c r="B139" s="77"/>
      <c r="C139" s="225">
        <v>40</v>
      </c>
      <c r="D139" s="78">
        <f>(C71*(1-'5.Closing Stock &amp; W Capital'!$D$15))*$C$139*D$124</f>
        <v>0</v>
      </c>
      <c r="E139" s="78">
        <f>((D71*(1-'5.Closing Stock &amp; W Capital'!$D$15))+(C71*'5.Closing Stock &amp; W Capital'!$D$15))*$C$139*E$124</f>
        <v>0</v>
      </c>
      <c r="F139" s="78">
        <f>((E71*(1-'5.Closing Stock &amp; W Capital'!$D$15))+(D71*'5.Closing Stock &amp; W Capital'!$D$15))*$C$139*F$124</f>
        <v>0</v>
      </c>
      <c r="G139" s="78">
        <f>((F71*(1-'5.Closing Stock &amp; W Capital'!$D$15))+(E71*'5.Closing Stock &amp; W Capital'!$D$15))*$C$139*G$124</f>
        <v>0</v>
      </c>
      <c r="H139" s="78">
        <f>((G71*(1-'5.Closing Stock &amp; W Capital'!$D$15))+(F71*'5.Closing Stock &amp; W Capital'!$D$15))*$C$139*H$124</f>
        <v>0</v>
      </c>
      <c r="I139" s="78">
        <f>((H71*(1-'5.Closing Stock &amp; W Capital'!$D$15))+(G71*'5.Closing Stock &amp; W Capital'!$D$15))*$C$139*I$124</f>
        <v>0</v>
      </c>
      <c r="J139" s="78">
        <f>((I71*(1-'5.Closing Stock &amp; W Capital'!$D$15))+(H71*'5.Closing Stock &amp; W Capital'!$D$15))*$C$139*J$124</f>
        <v>0</v>
      </c>
      <c r="K139" s="76"/>
      <c r="U139" s="76"/>
      <c r="V139" s="76"/>
      <c r="W139" s="76"/>
    </row>
    <row r="140" spans="1:23">
      <c r="A140" s="77" t="str">
        <f t="shared" si="52"/>
        <v>Bengal Gram/Channa</v>
      </c>
      <c r="B140" s="77"/>
      <c r="C140" s="225">
        <v>75</v>
      </c>
      <c r="D140" s="78">
        <f>(C72*(1-'5.Closing Stock &amp; W Capital'!$D$15))*$C$140*D$124</f>
        <v>0</v>
      </c>
      <c r="E140" s="78">
        <f>((D72*(1-'5.Closing Stock &amp; W Capital'!$D$15))+(C72*'5.Closing Stock &amp; W Capital'!$D$15))*$C$140*E$124</f>
        <v>0</v>
      </c>
      <c r="F140" s="78">
        <f>((E72*(1-'5.Closing Stock &amp; W Capital'!$D$15))+(D72*'5.Closing Stock &amp; W Capital'!$D$15))*$C$140*F$124</f>
        <v>0</v>
      </c>
      <c r="G140" s="78">
        <f>((F72*(1-'5.Closing Stock &amp; W Capital'!$D$15))+(E72*'5.Closing Stock &amp; W Capital'!$D$15))*$C$140*G$124</f>
        <v>0</v>
      </c>
      <c r="H140" s="78">
        <f>((G72*(1-'5.Closing Stock &amp; W Capital'!$D$15))+(F72*'5.Closing Stock &amp; W Capital'!$D$15))*$C$140*H$124</f>
        <v>0</v>
      </c>
      <c r="I140" s="78">
        <f>((H72*(1-'5.Closing Stock &amp; W Capital'!$D$15))+(G72*'5.Closing Stock &amp; W Capital'!$D$15))*$C$140*I$124</f>
        <v>0</v>
      </c>
      <c r="J140" s="78">
        <f>((I72*(1-'5.Closing Stock &amp; W Capital'!$D$15))+(H72*'5.Closing Stock &amp; W Capital'!$D$15))*$C$140*J$124</f>
        <v>0</v>
      </c>
      <c r="K140" s="76"/>
      <c r="U140" s="76"/>
      <c r="V140" s="76"/>
      <c r="W140" s="76"/>
    </row>
    <row r="141" spans="1:23">
      <c r="A141" s="77" t="str">
        <f t="shared" si="52"/>
        <v>Jawar</v>
      </c>
      <c r="B141" s="77"/>
      <c r="C141" s="225">
        <v>27</v>
      </c>
      <c r="D141" s="78">
        <f>(C73*(1-'5.Closing Stock &amp; W Capital'!$D$15))*$C$141*D$124</f>
        <v>0</v>
      </c>
      <c r="E141" s="78">
        <f>((D73*(1-'5.Closing Stock &amp; W Capital'!$D$15))+(C73*'5.Closing Stock &amp; W Capital'!$D$15))*$C$141*E$124</f>
        <v>0</v>
      </c>
      <c r="F141" s="78">
        <f>((E73*(1-'5.Closing Stock &amp; W Capital'!$D$15))+(D73*'5.Closing Stock &amp; W Capital'!$D$15))*$C$141*F$124</f>
        <v>0</v>
      </c>
      <c r="G141" s="78">
        <f>((F73*(1-'5.Closing Stock &amp; W Capital'!$D$15))+(E73*'5.Closing Stock &amp; W Capital'!$D$15))*$C$141*G$124</f>
        <v>0</v>
      </c>
      <c r="H141" s="78">
        <f>((G73*(1-'5.Closing Stock &amp; W Capital'!$D$15))+(F73*'5.Closing Stock &amp; W Capital'!$D$15))*$C$141*H$124</f>
        <v>0</v>
      </c>
      <c r="I141" s="78">
        <f>((H73*(1-'5.Closing Stock &amp; W Capital'!$D$15))+(G73*'5.Closing Stock &amp; W Capital'!$D$15))*$C$141*I$124</f>
        <v>0</v>
      </c>
      <c r="J141" s="78">
        <f>((I73*(1-'5.Closing Stock &amp; W Capital'!$D$15))+(H73*'5.Closing Stock &amp; W Capital'!$D$15))*$C$141*J$124</f>
        <v>0</v>
      </c>
      <c r="K141" s="76"/>
      <c r="U141" s="76"/>
      <c r="V141" s="76"/>
      <c r="W141" s="76"/>
    </row>
    <row r="142" spans="1:23">
      <c r="A142" s="77" t="str">
        <f t="shared" si="52"/>
        <v>Maize</v>
      </c>
      <c r="B142" s="77"/>
      <c r="C142" s="225">
        <v>27</v>
      </c>
      <c r="D142" s="78">
        <f>(C74*(1-'5.Closing Stock &amp; W Capital'!$D$15))*$C$142*D$124</f>
        <v>0</v>
      </c>
      <c r="E142" s="78">
        <f>((D74*(1-'5.Closing Stock &amp; W Capital'!$D$15))+(C74*'5.Closing Stock &amp; W Capital'!$D$15))*$C$142*E$124</f>
        <v>0</v>
      </c>
      <c r="F142" s="78">
        <f>((E74*(1-'5.Closing Stock &amp; W Capital'!$D$15))+(D74*'5.Closing Stock &amp; W Capital'!$D$15))*$C$142*F$124</f>
        <v>0</v>
      </c>
      <c r="G142" s="78">
        <f>((F74*(1-'5.Closing Stock &amp; W Capital'!$D$15))+(E74*'5.Closing Stock &amp; W Capital'!$D$15))*$C$142*G$124</f>
        <v>0</v>
      </c>
      <c r="H142" s="78">
        <f>((G74*(1-'5.Closing Stock &amp; W Capital'!$D$15))+(F74*'5.Closing Stock &amp; W Capital'!$D$15))*$C$142*H$124</f>
        <v>0</v>
      </c>
      <c r="I142" s="78">
        <f>((H74*(1-'5.Closing Stock &amp; W Capital'!$D$15))+(G74*'5.Closing Stock &amp; W Capital'!$D$15))*$C$142*I$124</f>
        <v>0</v>
      </c>
      <c r="J142" s="78">
        <f>((I74*(1-'5.Closing Stock &amp; W Capital'!$D$15))+(H74*'5.Closing Stock &amp; W Capital'!$D$15))*$C$142*J$124</f>
        <v>0</v>
      </c>
      <c r="K142" s="76"/>
      <c r="U142" s="76"/>
      <c r="V142" s="76"/>
      <c r="W142" s="76"/>
    </row>
    <row r="143" spans="1:23">
      <c r="A143" s="77" t="str">
        <f t="shared" si="52"/>
        <v>Safflower</v>
      </c>
      <c r="B143" s="77"/>
      <c r="C143" s="225"/>
      <c r="D143" s="78">
        <f>(C75*(1-'5.Closing Stock &amp; W Capital'!$D$15))*$C$143*D$124</f>
        <v>0</v>
      </c>
      <c r="E143" s="78">
        <f>((D75*(1-'5.Closing Stock &amp; W Capital'!$D$15))+(C75*'5.Closing Stock &amp; W Capital'!$D$15))*$C$143*E$124</f>
        <v>0</v>
      </c>
      <c r="F143" s="78">
        <f>((E75*(1-'5.Closing Stock &amp; W Capital'!$D$15))+(D75*'5.Closing Stock &amp; W Capital'!$D$15))*$C$143*F$124</f>
        <v>0</v>
      </c>
      <c r="G143" s="78">
        <f>((F75*(1-'5.Closing Stock &amp; W Capital'!$D$15))+(E75*'5.Closing Stock &amp; W Capital'!$D$15))*$C$143*G$124</f>
        <v>0</v>
      </c>
      <c r="H143" s="78">
        <f>((G75*(1-'5.Closing Stock &amp; W Capital'!$D$15))+(F75*'5.Closing Stock &amp; W Capital'!$D$15))*$C$143*H$124</f>
        <v>0</v>
      </c>
      <c r="I143" s="78">
        <f>((H75*(1-'5.Closing Stock &amp; W Capital'!$D$15))+(G75*'5.Closing Stock &amp; W Capital'!$D$15))*$C$143*I$124</f>
        <v>0</v>
      </c>
      <c r="J143" s="78">
        <f>((I75*(1-'5.Closing Stock &amp; W Capital'!$D$15))+(H75*'5.Closing Stock &amp; W Capital'!$D$15))*$C$143*J$124</f>
        <v>0</v>
      </c>
      <c r="K143" s="76"/>
      <c r="U143" s="76"/>
      <c r="V143" s="76"/>
      <c r="W143" s="76"/>
    </row>
    <row r="144" spans="1:23">
      <c r="A144" s="77">
        <f t="shared" si="52"/>
        <v>0</v>
      </c>
      <c r="B144" s="77"/>
      <c r="C144" s="225"/>
      <c r="D144" s="78">
        <f>(C76*(1-'5.Closing Stock &amp; W Capital'!$D$15))*$C$144*D$124</f>
        <v>0</v>
      </c>
      <c r="E144" s="78">
        <f>((D76*(1-'5.Closing Stock &amp; W Capital'!$D$15))+(C76*'5.Closing Stock &amp; W Capital'!$D$15))*$C$144*E$124</f>
        <v>0</v>
      </c>
      <c r="F144" s="78">
        <f>((E76*(1-'5.Closing Stock &amp; W Capital'!$D$15))+(D76*'5.Closing Stock &amp; W Capital'!$D$15))*$C$144*F$124</f>
        <v>0</v>
      </c>
      <c r="G144" s="78">
        <f>((F76*(1-'5.Closing Stock &amp; W Capital'!$D$15))+(E76*'5.Closing Stock &amp; W Capital'!$D$15))*$C$144*G$124</f>
        <v>0</v>
      </c>
      <c r="H144" s="78">
        <f>((G76*(1-'5.Closing Stock &amp; W Capital'!$D$15))+(F76*'5.Closing Stock &amp; W Capital'!$D$15))*$C$144*H$124</f>
        <v>0</v>
      </c>
      <c r="I144" s="78">
        <f>((H76*(1-'5.Closing Stock &amp; W Capital'!$D$15))+(G76*'5.Closing Stock &amp; W Capital'!$D$15))*$C$144*I$124</f>
        <v>0</v>
      </c>
      <c r="J144" s="78">
        <f>((I76*(1-'5.Closing Stock &amp; W Capital'!$D$15))+(H76*'5.Closing Stock &amp; W Capital'!$D$15))*$C$144*J$124</f>
        <v>0</v>
      </c>
      <c r="K144" s="76"/>
      <c r="U144" s="76"/>
      <c r="V144" s="76"/>
      <c r="W144" s="76"/>
    </row>
    <row r="145" spans="1:23">
      <c r="A145" s="77">
        <f t="shared" si="52"/>
        <v>0</v>
      </c>
      <c r="B145" s="77"/>
      <c r="C145" s="225"/>
      <c r="D145" s="78">
        <f>(C77*(1-'5.Closing Stock &amp; W Capital'!$D$15))*$C$145*D$124</f>
        <v>0</v>
      </c>
      <c r="E145" s="78">
        <f>((D77*(1-'5.Closing Stock &amp; W Capital'!$D$15))+(C77*'5.Closing Stock &amp; W Capital'!$D$15))*$C$145*E$124</f>
        <v>0</v>
      </c>
      <c r="F145" s="78">
        <f>((E77*(1-'5.Closing Stock &amp; W Capital'!$D$15))+(D77*'5.Closing Stock &amp; W Capital'!$D$15))*$C$145*F$124</f>
        <v>0</v>
      </c>
      <c r="G145" s="78">
        <f>((F77*(1-'5.Closing Stock &amp; W Capital'!$D$15))+(E77*'5.Closing Stock &amp; W Capital'!$D$15))*$C$145*G$124</f>
        <v>0</v>
      </c>
      <c r="H145" s="78">
        <f>((G77*(1-'5.Closing Stock &amp; W Capital'!$D$15))+(F77*'5.Closing Stock &amp; W Capital'!$D$15))*$C$145*H$124</f>
        <v>0</v>
      </c>
      <c r="I145" s="78">
        <f>((H77*(1-'5.Closing Stock &amp; W Capital'!$D$15))+(G77*'5.Closing Stock &amp; W Capital'!$D$15))*$C$145*I$124</f>
        <v>0</v>
      </c>
      <c r="J145" s="78">
        <f>((I77*(1-'5.Closing Stock &amp; W Capital'!$D$15))+(H77*'5.Closing Stock &amp; W Capital'!$D$15))*$C$145*J$124</f>
        <v>0</v>
      </c>
      <c r="K145" s="76"/>
      <c r="U145" s="76"/>
      <c r="V145" s="76"/>
      <c r="W145" s="76"/>
    </row>
    <row r="146" spans="1:23">
      <c r="A146" s="77">
        <f t="shared" si="52"/>
        <v>0</v>
      </c>
      <c r="B146" s="77"/>
      <c r="C146" s="225"/>
      <c r="D146" s="78">
        <f>(C78*(1-'5.Closing Stock &amp; W Capital'!$D$15))*$C$146*D$124</f>
        <v>0</v>
      </c>
      <c r="E146" s="78">
        <f>((D78*(1-'5.Closing Stock &amp; W Capital'!$D$15))+(C78*'5.Closing Stock &amp; W Capital'!$D$15))*$C$146*E$124</f>
        <v>0</v>
      </c>
      <c r="F146" s="78">
        <f>((E78*(1-'5.Closing Stock &amp; W Capital'!$D$15))+(D78*'5.Closing Stock &amp; W Capital'!$D$15))*$C$146*F$124</f>
        <v>0</v>
      </c>
      <c r="G146" s="78">
        <f>((F78*(1-'5.Closing Stock &amp; W Capital'!$D$15))+(E78*'5.Closing Stock &amp; W Capital'!$D$15))*$C$146*G$124</f>
        <v>0</v>
      </c>
      <c r="H146" s="78">
        <f>((G78*(1-'5.Closing Stock &amp; W Capital'!$D$15))+(F78*'5.Closing Stock &amp; W Capital'!$D$15))*$C$146*H$124</f>
        <v>0</v>
      </c>
      <c r="I146" s="78">
        <f>((H78*(1-'5.Closing Stock &amp; W Capital'!$D$15))+(G78*'5.Closing Stock &amp; W Capital'!$D$15))*$C$146*I$124</f>
        <v>0</v>
      </c>
      <c r="J146" s="78">
        <f>((I78*(1-'5.Closing Stock &amp; W Capital'!$D$15))+(H78*'5.Closing Stock &amp; W Capital'!$D$15))*$C$146*J$124</f>
        <v>0</v>
      </c>
      <c r="K146" s="76"/>
      <c r="U146" s="76"/>
      <c r="V146" s="76"/>
      <c r="W146" s="76"/>
    </row>
    <row r="147" spans="1:23">
      <c r="A147" s="79" t="str">
        <f t="shared" si="52"/>
        <v>Summer</v>
      </c>
      <c r="B147" s="77"/>
      <c r="C147" s="225"/>
      <c r="D147" s="78"/>
      <c r="E147" s="78"/>
      <c r="F147" s="78"/>
      <c r="G147" s="78"/>
      <c r="H147" s="78"/>
      <c r="I147" s="78"/>
      <c r="J147" s="78"/>
      <c r="K147" s="76"/>
      <c r="U147" s="76"/>
      <c r="V147" s="76"/>
      <c r="W147" s="76"/>
    </row>
    <row r="148" spans="1:23">
      <c r="A148" s="77" t="str">
        <f t="shared" si="52"/>
        <v>Groundnut</v>
      </c>
      <c r="B148" s="77"/>
      <c r="C148" s="225"/>
      <c r="D148" s="78">
        <f>(C80*(1-'5.Closing Stock &amp; W Capital'!$D$15))*$C$148*D$124</f>
        <v>0</v>
      </c>
      <c r="E148" s="78">
        <f>((D80*(1-'5.Closing Stock &amp; W Capital'!$D$15))+(C80*'5.Closing Stock &amp; W Capital'!$D$15))*$C$148*E$124</f>
        <v>0</v>
      </c>
      <c r="F148" s="78">
        <f>((E80*(1-'5.Closing Stock &amp; W Capital'!$D$15))+(D80*'5.Closing Stock &amp; W Capital'!$D$15))*$C$148*F$124</f>
        <v>0</v>
      </c>
      <c r="G148" s="78">
        <f>((F80*(1-'5.Closing Stock &amp; W Capital'!$D$15))+(E80*'5.Closing Stock &amp; W Capital'!$D$15))*$C$148*G$124</f>
        <v>0</v>
      </c>
      <c r="H148" s="78">
        <f>((G80*(1-'5.Closing Stock &amp; W Capital'!$D$15))+(F80*'5.Closing Stock &amp; W Capital'!$D$15))*$C$148*H$124</f>
        <v>0</v>
      </c>
      <c r="I148" s="78">
        <f>((H80*(1-'5.Closing Stock &amp; W Capital'!$D$15))+(G80*'5.Closing Stock &amp; W Capital'!$D$15))*$C$148*I$124</f>
        <v>0</v>
      </c>
      <c r="J148" s="78">
        <f>((I80*(1-'5.Closing Stock &amp; W Capital'!$D$15))+(H80*'5.Closing Stock &amp; W Capital'!$D$15))*$C$148*J$124</f>
        <v>0</v>
      </c>
      <c r="K148" s="76"/>
      <c r="U148" s="76"/>
      <c r="V148" s="76"/>
      <c r="W148" s="76"/>
    </row>
    <row r="149" spans="1:23">
      <c r="A149" s="77">
        <f t="shared" si="52"/>
        <v>0</v>
      </c>
      <c r="B149" s="77"/>
      <c r="C149" s="225"/>
      <c r="D149" s="78">
        <f>(C81*(1-'5.Closing Stock &amp; W Capital'!$D$15))*$C$149*D$124</f>
        <v>0</v>
      </c>
      <c r="E149" s="78">
        <f>((D81*(1-'5.Closing Stock &amp; W Capital'!$D$15))+(C81*'5.Closing Stock &amp; W Capital'!$D$15))*$C$149*E$124</f>
        <v>0</v>
      </c>
      <c r="F149" s="78">
        <f>((E81*(1-'5.Closing Stock &amp; W Capital'!$D$15))+(D81*'5.Closing Stock &amp; W Capital'!$D$15))*$C$149*F$124</f>
        <v>0</v>
      </c>
      <c r="G149" s="78">
        <f>((F81*(1-'5.Closing Stock &amp; W Capital'!$D$15))+(E81*'5.Closing Stock &amp; W Capital'!$D$15))*$C$149*G$124</f>
        <v>0</v>
      </c>
      <c r="H149" s="78">
        <f>((G81*(1-'5.Closing Stock &amp; W Capital'!$D$15))+(F81*'5.Closing Stock &amp; W Capital'!$D$15))*$C$149*H$124</f>
        <v>0</v>
      </c>
      <c r="I149" s="78">
        <f>((H81*(1-'5.Closing Stock &amp; W Capital'!$D$15))+(G81*'5.Closing Stock &amp; W Capital'!$D$15))*$C$149*I$124</f>
        <v>0</v>
      </c>
      <c r="J149" s="78">
        <f>((I81*(1-'5.Closing Stock &amp; W Capital'!$D$15))+(H81*'5.Closing Stock &amp; W Capital'!$D$15))*$C$149*J$124</f>
        <v>0</v>
      </c>
      <c r="K149" s="76"/>
      <c r="U149" s="76"/>
      <c r="V149" s="76"/>
      <c r="W149" s="76"/>
    </row>
    <row r="150" spans="1:23">
      <c r="A150" s="77">
        <f t="shared" si="52"/>
        <v>0</v>
      </c>
      <c r="B150" s="77"/>
      <c r="C150" s="225"/>
      <c r="D150" s="78">
        <f>(C82*(1-'5.Closing Stock &amp; W Capital'!$D$15))*$C$150*D$124</f>
        <v>0</v>
      </c>
      <c r="E150" s="78">
        <f>((D82*(1-'5.Closing Stock &amp; W Capital'!$D$15))+(C82*'5.Closing Stock &amp; W Capital'!$D$15))*$C$150*E$124</f>
        <v>0</v>
      </c>
      <c r="F150" s="78">
        <f>((E82*(1-'5.Closing Stock &amp; W Capital'!$D$15))+(D82*'5.Closing Stock &amp; W Capital'!$D$15))*$C$150*F$124</f>
        <v>0</v>
      </c>
      <c r="G150" s="78">
        <f>((F82*(1-'5.Closing Stock &amp; W Capital'!$D$15))+(E82*'5.Closing Stock &amp; W Capital'!$D$15))*$C$150*G$124</f>
        <v>0</v>
      </c>
      <c r="H150" s="78">
        <f>((G82*(1-'5.Closing Stock &amp; W Capital'!$D$15))+(F82*'5.Closing Stock &amp; W Capital'!$D$15))*$C$150*H$124</f>
        <v>0</v>
      </c>
      <c r="I150" s="78">
        <f>((H82*(1-'5.Closing Stock &amp; W Capital'!$D$15))+(G82*'5.Closing Stock &amp; W Capital'!$D$15))*$C$150*I$124</f>
        <v>0</v>
      </c>
      <c r="J150" s="78">
        <f>((I82*(1-'5.Closing Stock &amp; W Capital'!$D$15))+(H82*'5.Closing Stock &amp; W Capital'!$D$15))*$C$150*J$124</f>
        <v>0</v>
      </c>
      <c r="K150" s="76"/>
      <c r="U150" s="76"/>
      <c r="V150" s="76"/>
      <c r="W150" s="76"/>
    </row>
    <row r="151" spans="1:23">
      <c r="A151" s="77">
        <f t="shared" si="52"/>
        <v>0</v>
      </c>
      <c r="B151" s="77"/>
      <c r="C151" s="225"/>
      <c r="D151" s="78">
        <f>(C83*(1-'5.Closing Stock &amp; W Capital'!$D$15))*$C$151*D$124</f>
        <v>0</v>
      </c>
      <c r="E151" s="78">
        <f>((D83*(1-'5.Closing Stock &amp; W Capital'!$D$15))+(C83*'5.Closing Stock &amp; W Capital'!$D$15))*$C$151*E$124</f>
        <v>0</v>
      </c>
      <c r="F151" s="78">
        <f>((E83*(1-'5.Closing Stock &amp; W Capital'!$D$15))+(D83*'5.Closing Stock &amp; W Capital'!$D$15))*$C$151*F$124</f>
        <v>0</v>
      </c>
      <c r="G151" s="78">
        <f>((F83*(1-'5.Closing Stock &amp; W Capital'!$D$15))+(E83*'5.Closing Stock &amp; W Capital'!$D$15))*$C$151*G$124</f>
        <v>0</v>
      </c>
      <c r="H151" s="78">
        <f>((G83*(1-'5.Closing Stock &amp; W Capital'!$D$15))+(F83*'5.Closing Stock &amp; W Capital'!$D$15))*$C$151*H$124</f>
        <v>0</v>
      </c>
      <c r="I151" s="78">
        <f>((H83*(1-'5.Closing Stock &amp; W Capital'!$D$15))+(G83*'5.Closing Stock &amp; W Capital'!$D$15))*$C$151*I$124</f>
        <v>0</v>
      </c>
      <c r="J151" s="78">
        <f>((I83*(1-'5.Closing Stock &amp; W Capital'!$D$15))+(H83*'5.Closing Stock &amp; W Capital'!$D$15))*$C$151*J$124</f>
        <v>0</v>
      </c>
      <c r="K151" s="76"/>
      <c r="U151" s="76"/>
      <c r="V151" s="76"/>
      <c r="W151" s="76"/>
    </row>
    <row r="152" spans="1:23">
      <c r="A152" s="77">
        <f t="shared" si="52"/>
        <v>0</v>
      </c>
      <c r="B152" s="77"/>
      <c r="C152" s="225"/>
      <c r="D152" s="78">
        <f>(C84*(1-'5.Closing Stock &amp; W Capital'!$D$15))*$C$152*D$124</f>
        <v>0</v>
      </c>
      <c r="E152" s="78">
        <f>((D84*(1-'5.Closing Stock &amp; W Capital'!$D$15))+(C84*'5.Closing Stock &amp; W Capital'!$D$15))*$C$152*E$124</f>
        <v>0</v>
      </c>
      <c r="F152" s="78">
        <f>((E84*(1-'5.Closing Stock &amp; W Capital'!$D$15))+(D84*'5.Closing Stock &amp; W Capital'!$D$15))*$C$152*F$124</f>
        <v>0</v>
      </c>
      <c r="G152" s="78">
        <f>((F84*(1-'5.Closing Stock &amp; W Capital'!$D$15))+(E84*'5.Closing Stock &amp; W Capital'!$D$15))*$C$152*G$124</f>
        <v>0</v>
      </c>
      <c r="H152" s="78">
        <f>((G84*(1-'5.Closing Stock &amp; W Capital'!$D$15))+(F84*'5.Closing Stock &amp; W Capital'!$D$15))*$C$152*H$124</f>
        <v>0</v>
      </c>
      <c r="I152" s="78">
        <f>((H84*(1-'5.Closing Stock &amp; W Capital'!$D$15))+(G84*'5.Closing Stock &amp; W Capital'!$D$15))*$C$152*I$124</f>
        <v>0</v>
      </c>
      <c r="J152" s="78">
        <f>((I84*(1-'5.Closing Stock &amp; W Capital'!$D$15))+(H84*'5.Closing Stock &amp; W Capital'!$D$15))*$C$152*J$124</f>
        <v>0</v>
      </c>
      <c r="K152" s="76"/>
      <c r="U152" s="76"/>
      <c r="V152" s="76"/>
      <c r="W152" s="76"/>
    </row>
    <row r="153" spans="1:23">
      <c r="A153" s="77" t="str">
        <f t="shared" si="52"/>
        <v>Fruit  &amp; Vegetables Crop Production Details</v>
      </c>
      <c r="B153" s="77"/>
      <c r="C153" s="225"/>
      <c r="D153" s="78"/>
      <c r="E153" s="78"/>
      <c r="F153" s="78"/>
      <c r="G153" s="78"/>
      <c r="H153" s="78"/>
      <c r="I153" s="78"/>
      <c r="J153" s="78"/>
      <c r="K153" s="76"/>
      <c r="U153" s="76"/>
      <c r="V153" s="76"/>
      <c r="W153" s="76"/>
    </row>
    <row r="154" spans="1:23">
      <c r="A154" s="77" t="str">
        <f t="shared" si="52"/>
        <v>Onion</v>
      </c>
      <c r="B154" s="77"/>
      <c r="C154" s="225"/>
      <c r="D154" s="78">
        <f>(C86*(1-'5.Closing Stock &amp; W Capital'!$D$15))*$C154*D$124</f>
        <v>0</v>
      </c>
      <c r="E154" s="78">
        <f>((D86*(1-'5.Closing Stock &amp; W Capital'!$D$15))+(C86*'5.Closing Stock &amp; W Capital'!$D$15))*$C154*E$124</f>
        <v>0</v>
      </c>
      <c r="F154" s="78">
        <f>((E86*(1-'5.Closing Stock &amp; W Capital'!$D$15))+(D86*'5.Closing Stock &amp; W Capital'!$D$15))*$C$152*F$124</f>
        <v>0</v>
      </c>
      <c r="G154" s="78">
        <f>((F86*(1-'5.Closing Stock &amp; W Capital'!$D$15))+(E86*'5.Closing Stock &amp; W Capital'!$D$15))*$C$152*G$124</f>
        <v>0</v>
      </c>
      <c r="H154" s="78">
        <f>((G86*(1-'5.Closing Stock &amp; W Capital'!$D$15))+(F86*'5.Closing Stock &amp; W Capital'!$D$15))*$C$152*H$124</f>
        <v>0</v>
      </c>
      <c r="I154" s="78">
        <f>((H86*(1-'5.Closing Stock &amp; W Capital'!$D$15))+(G86*'5.Closing Stock &amp; W Capital'!$D$15))*$C$152*I$124</f>
        <v>0</v>
      </c>
      <c r="J154" s="78">
        <f>((I86*(1-'5.Closing Stock &amp; W Capital'!$D$15))+(H86*'5.Closing Stock &amp; W Capital'!$D$15))*$C$152*J$124</f>
        <v>0</v>
      </c>
      <c r="K154" s="76"/>
      <c r="U154" s="76"/>
      <c r="V154" s="76"/>
      <c r="W154" s="76"/>
    </row>
    <row r="155" spans="1:23">
      <c r="A155" s="77" t="str">
        <f t="shared" si="52"/>
        <v>Tomato</v>
      </c>
      <c r="B155" s="77"/>
      <c r="C155" s="225"/>
      <c r="D155" s="78">
        <f>(C87*(1-'5.Closing Stock &amp; W Capital'!$D$15))*$C155*D$124</f>
        <v>0</v>
      </c>
      <c r="E155" s="78">
        <f>((D87*(1-'5.Closing Stock &amp; W Capital'!$D$15))+(C87*'5.Closing Stock &amp; W Capital'!$D$15))*$C155*E$124</f>
        <v>0</v>
      </c>
      <c r="F155" s="78">
        <f>((E87*(1-'5.Closing Stock &amp; W Capital'!$D$15))+(D87*'5.Closing Stock &amp; W Capital'!$D$15))*$C$152*F$124</f>
        <v>0</v>
      </c>
      <c r="G155" s="78">
        <f>((F87*(1-'5.Closing Stock &amp; W Capital'!$D$15))+(E87*'5.Closing Stock &amp; W Capital'!$D$15))*$C$152*G$124</f>
        <v>0</v>
      </c>
      <c r="H155" s="78">
        <f>((G87*(1-'5.Closing Stock &amp; W Capital'!$D$15))+(F87*'5.Closing Stock &amp; W Capital'!$D$15))*$C$152*H$124</f>
        <v>0</v>
      </c>
      <c r="I155" s="78">
        <f>((H87*(1-'5.Closing Stock &amp; W Capital'!$D$15))+(G87*'5.Closing Stock &amp; W Capital'!$D$15))*$C$152*I$124</f>
        <v>0</v>
      </c>
      <c r="J155" s="78">
        <f>((I87*(1-'5.Closing Stock &amp; W Capital'!$D$15))+(H87*'5.Closing Stock &amp; W Capital'!$D$15))*$C$152*J$124</f>
        <v>0</v>
      </c>
      <c r="K155" s="76"/>
      <c r="U155" s="76"/>
      <c r="V155" s="76"/>
      <c r="W155" s="76"/>
    </row>
    <row r="156" spans="1:23">
      <c r="A156" s="77" t="str">
        <f t="shared" si="52"/>
        <v>Okra</v>
      </c>
      <c r="B156" s="77"/>
      <c r="C156" s="225"/>
      <c r="D156" s="78">
        <f>(C88*(1-'5.Closing Stock &amp; W Capital'!$D$15))*$C156*D$124</f>
        <v>0</v>
      </c>
      <c r="E156" s="78">
        <f>((D88*(1-'5.Closing Stock &amp; W Capital'!$D$15))+(C88*'5.Closing Stock &amp; W Capital'!$D$15))*$C156*E$124</f>
        <v>0</v>
      </c>
      <c r="F156" s="78">
        <f>((E88*(1-'5.Closing Stock &amp; W Capital'!$D$15))+(D88*'5.Closing Stock &amp; W Capital'!$D$15))*$C$152*F$124</f>
        <v>0</v>
      </c>
      <c r="G156" s="78">
        <f>((F88*(1-'5.Closing Stock &amp; W Capital'!$D$15))+(E88*'5.Closing Stock &amp; W Capital'!$D$15))*$C$152*G$124</f>
        <v>0</v>
      </c>
      <c r="H156" s="78">
        <f>((G88*(1-'5.Closing Stock &amp; W Capital'!$D$15))+(F88*'5.Closing Stock &amp; W Capital'!$D$15))*$C$152*H$124</f>
        <v>0</v>
      </c>
      <c r="I156" s="78">
        <f>((H88*(1-'5.Closing Stock &amp; W Capital'!$D$15))+(G88*'5.Closing Stock &amp; W Capital'!$D$15))*$C$152*I$124</f>
        <v>0</v>
      </c>
      <c r="J156" s="78">
        <f>((I88*(1-'5.Closing Stock &amp; W Capital'!$D$15))+(H88*'5.Closing Stock &amp; W Capital'!$D$15))*$C$152*J$124</f>
        <v>0</v>
      </c>
      <c r="K156" s="76"/>
      <c r="U156" s="76"/>
      <c r="V156" s="76"/>
      <c r="W156" s="76"/>
    </row>
    <row r="157" spans="1:23">
      <c r="A157" s="77" t="str">
        <f t="shared" si="52"/>
        <v>Chilli</v>
      </c>
      <c r="B157" s="77"/>
      <c r="C157" s="225"/>
      <c r="D157" s="78">
        <f>(C89*(1-'5.Closing Stock &amp; W Capital'!$D$15))*$C157*D$124</f>
        <v>0</v>
      </c>
      <c r="E157" s="78">
        <f>((D89*(1-'5.Closing Stock &amp; W Capital'!$D$15))+(C89*'5.Closing Stock &amp; W Capital'!$D$15))*$C157*E$124</f>
        <v>0</v>
      </c>
      <c r="F157" s="78">
        <f>((E89*(1-'5.Closing Stock &amp; W Capital'!$D$15))+(D89*'5.Closing Stock &amp; W Capital'!$D$15))*$C$152*F$124</f>
        <v>0</v>
      </c>
      <c r="G157" s="78">
        <f>((F89*(1-'5.Closing Stock &amp; W Capital'!$D$15))+(E89*'5.Closing Stock &amp; W Capital'!$D$15))*$C$152*G$124</f>
        <v>0</v>
      </c>
      <c r="H157" s="78">
        <f>((G89*(1-'5.Closing Stock &amp; W Capital'!$D$15))+(F89*'5.Closing Stock &amp; W Capital'!$D$15))*$C$152*H$124</f>
        <v>0</v>
      </c>
      <c r="I157" s="78">
        <f>((H89*(1-'5.Closing Stock &amp; W Capital'!$D$15))+(G89*'5.Closing Stock &amp; W Capital'!$D$15))*$C$152*I$124</f>
        <v>0</v>
      </c>
      <c r="J157" s="78">
        <f>((I89*(1-'5.Closing Stock &amp; W Capital'!$D$15))+(H89*'5.Closing Stock &amp; W Capital'!$D$15))*$C$152*J$124</f>
        <v>0</v>
      </c>
      <c r="K157" s="76"/>
      <c r="U157" s="76"/>
      <c r="V157" s="76"/>
      <c r="W157" s="76"/>
    </row>
    <row r="158" spans="1:23">
      <c r="A158" s="77" t="str">
        <f t="shared" si="52"/>
        <v>Potato</v>
      </c>
      <c r="B158" s="77"/>
      <c r="C158" s="225"/>
      <c r="D158" s="78">
        <f>(C90*(1-'5.Closing Stock &amp; W Capital'!$D$15))*$C158*D$124</f>
        <v>0</v>
      </c>
      <c r="E158" s="78">
        <f>((D90*(1-'5.Closing Stock &amp; W Capital'!$D$15))+(C90*'5.Closing Stock &amp; W Capital'!$D$15))*$C158*E$124</f>
        <v>0</v>
      </c>
      <c r="F158" s="78">
        <f>((E90*(1-'5.Closing Stock &amp; W Capital'!$D$15))+(D90*'5.Closing Stock &amp; W Capital'!$D$15))*$C$152*F$124</f>
        <v>0</v>
      </c>
      <c r="G158" s="78">
        <f>((F90*(1-'5.Closing Stock &amp; W Capital'!$D$15))+(E90*'5.Closing Stock &amp; W Capital'!$D$15))*$C$152*G$124</f>
        <v>0</v>
      </c>
      <c r="H158" s="78">
        <f>((G90*(1-'5.Closing Stock &amp; W Capital'!$D$15))+(F90*'5.Closing Stock &amp; W Capital'!$D$15))*$C$152*H$124</f>
        <v>0</v>
      </c>
      <c r="I158" s="78">
        <f>((H90*(1-'5.Closing Stock &amp; W Capital'!$D$15))+(G90*'5.Closing Stock &amp; W Capital'!$D$15))*$C$152*I$124</f>
        <v>0</v>
      </c>
      <c r="J158" s="78">
        <f>((I90*(1-'5.Closing Stock &amp; W Capital'!$D$15))+(H90*'5.Closing Stock &amp; W Capital'!$D$15))*$C$152*J$124</f>
        <v>0</v>
      </c>
      <c r="K158" s="76"/>
      <c r="U158" s="76"/>
      <c r="V158" s="76"/>
      <c r="W158" s="76"/>
    </row>
    <row r="159" spans="1:23">
      <c r="A159" s="77">
        <f t="shared" si="52"/>
        <v>0</v>
      </c>
      <c r="B159" s="77"/>
      <c r="C159" s="225"/>
      <c r="D159" s="78">
        <f>(C91*(1-'5.Closing Stock &amp; W Capital'!$D$15))*$C159*D$124</f>
        <v>0</v>
      </c>
      <c r="E159" s="78">
        <f>((D91*(1-'5.Closing Stock &amp; W Capital'!$D$15))+(C91*'5.Closing Stock &amp; W Capital'!$D$15))*$C159*E$124</f>
        <v>0</v>
      </c>
      <c r="F159" s="78">
        <f>((E91*(1-'5.Closing Stock &amp; W Capital'!$D$15))+(D91*'5.Closing Stock &amp; W Capital'!$D$15))*$C$152*F$124</f>
        <v>0</v>
      </c>
      <c r="G159" s="78">
        <f>((F91*(1-'5.Closing Stock &amp; W Capital'!$D$15))+(E91*'5.Closing Stock &amp; W Capital'!$D$15))*$C$152*G$124</f>
        <v>0</v>
      </c>
      <c r="H159" s="78">
        <f>((G91*(1-'5.Closing Stock &amp; W Capital'!$D$15))+(F91*'5.Closing Stock &amp; W Capital'!$D$15))*$C$152*H$124</f>
        <v>0</v>
      </c>
      <c r="I159" s="78">
        <f>((H91*(1-'5.Closing Stock &amp; W Capital'!$D$15))+(G91*'5.Closing Stock &amp; W Capital'!$D$15))*$C$152*I$124</f>
        <v>0</v>
      </c>
      <c r="J159" s="78">
        <f>((I91*(1-'5.Closing Stock &amp; W Capital'!$D$15))+(H91*'5.Closing Stock &amp; W Capital'!$D$15))*$C$152*J$124</f>
        <v>0</v>
      </c>
      <c r="K159" s="76"/>
      <c r="U159" s="76"/>
      <c r="V159" s="76"/>
      <c r="W159" s="76"/>
    </row>
    <row r="160" spans="1:23">
      <c r="A160" s="77">
        <f t="shared" si="52"/>
        <v>0</v>
      </c>
      <c r="B160" s="77"/>
      <c r="C160" s="225"/>
      <c r="D160" s="78">
        <f>(C92*(1-'5.Closing Stock &amp; W Capital'!$D$15))*$C160*D$124</f>
        <v>0</v>
      </c>
      <c r="E160" s="78">
        <f>((D92*(1-'5.Closing Stock &amp; W Capital'!$D$15))+(C92*'5.Closing Stock &amp; W Capital'!$D$15))*$C160*E$124</f>
        <v>0</v>
      </c>
      <c r="F160" s="78">
        <f>((E92*(1-'5.Closing Stock &amp; W Capital'!$D$15))+(D92*'5.Closing Stock &amp; W Capital'!$D$15))*$C$152*F$124</f>
        <v>0</v>
      </c>
      <c r="G160" s="78">
        <f>((F92*(1-'5.Closing Stock &amp; W Capital'!$D$15))+(E92*'5.Closing Stock &amp; W Capital'!$D$15))*$C$152*G$124</f>
        <v>0</v>
      </c>
      <c r="H160" s="78">
        <f>((G92*(1-'5.Closing Stock &amp; W Capital'!$D$15))+(F92*'5.Closing Stock &amp; W Capital'!$D$15))*$C$152*H$124</f>
        <v>0</v>
      </c>
      <c r="I160" s="78">
        <f>((H92*(1-'5.Closing Stock &amp; W Capital'!$D$15))+(G92*'5.Closing Stock &amp; W Capital'!$D$15))*$C$152*I$124</f>
        <v>0</v>
      </c>
      <c r="J160" s="78">
        <f>((I92*(1-'5.Closing Stock &amp; W Capital'!$D$15))+(H92*'5.Closing Stock &amp; W Capital'!$D$15))*$C$152*J$124</f>
        <v>0</v>
      </c>
      <c r="K160" s="76"/>
      <c r="U160" s="76"/>
      <c r="V160" s="76"/>
      <c r="W160" s="76"/>
    </row>
    <row r="161" spans="1:23">
      <c r="A161" s="77">
        <f t="shared" ref="A161:A179" si="53">A40</f>
        <v>0</v>
      </c>
      <c r="B161" s="77"/>
      <c r="C161" s="225"/>
      <c r="D161" s="78">
        <f>(C93*(1-'5.Closing Stock &amp; W Capital'!$D$15))*$C161*D$124</f>
        <v>0</v>
      </c>
      <c r="E161" s="78">
        <f>((D93*(1-'5.Closing Stock &amp; W Capital'!$D$15))+(C93*'5.Closing Stock &amp; W Capital'!$D$15))*$C161*E$124</f>
        <v>0</v>
      </c>
      <c r="F161" s="78">
        <f>((E93*(1-'5.Closing Stock &amp; W Capital'!$D$15))+(D93*'5.Closing Stock &amp; W Capital'!$D$15))*$C$152*F$124</f>
        <v>0</v>
      </c>
      <c r="G161" s="78">
        <f>((F93*(1-'5.Closing Stock &amp; W Capital'!$D$15))+(E93*'5.Closing Stock &amp; W Capital'!$D$15))*$C$152*G$124</f>
        <v>0</v>
      </c>
      <c r="H161" s="78">
        <f>((G93*(1-'5.Closing Stock &amp; W Capital'!$D$15))+(F93*'5.Closing Stock &amp; W Capital'!$D$15))*$C$152*H$124</f>
        <v>0</v>
      </c>
      <c r="I161" s="78">
        <f>((H93*(1-'5.Closing Stock &amp; W Capital'!$D$15))+(G93*'5.Closing Stock &amp; W Capital'!$D$15))*$C$152*I$124</f>
        <v>0</v>
      </c>
      <c r="J161" s="78">
        <f>((I93*(1-'5.Closing Stock &amp; W Capital'!$D$15))+(H93*'5.Closing Stock &amp; W Capital'!$D$15))*$C$152*J$124</f>
        <v>0</v>
      </c>
      <c r="K161" s="76"/>
      <c r="U161" s="76"/>
      <c r="V161" s="76"/>
      <c r="W161" s="76"/>
    </row>
    <row r="162" spans="1:23">
      <c r="A162" s="77">
        <f t="shared" si="53"/>
        <v>0</v>
      </c>
      <c r="B162" s="77"/>
      <c r="C162" s="225"/>
      <c r="D162" s="78">
        <f>(C94*(1-'5.Closing Stock &amp; W Capital'!$D$15))*$C162*D$124</f>
        <v>0</v>
      </c>
      <c r="E162" s="78">
        <f>((D94*(1-'5.Closing Stock &amp; W Capital'!$D$15))+(C94*'5.Closing Stock &amp; W Capital'!$D$15))*$C162*E$124</f>
        <v>0</v>
      </c>
      <c r="F162" s="78">
        <f>((E94*(1-'5.Closing Stock &amp; W Capital'!$D$15))+(D94*'5.Closing Stock &amp; W Capital'!$D$15))*$C$152*F$124</f>
        <v>0</v>
      </c>
      <c r="G162" s="78">
        <f>((F94*(1-'5.Closing Stock &amp; W Capital'!$D$15))+(E94*'5.Closing Stock &amp; W Capital'!$D$15))*$C$152*G$124</f>
        <v>0</v>
      </c>
      <c r="H162" s="78">
        <f>((G94*(1-'5.Closing Stock &amp; W Capital'!$D$15))+(F94*'5.Closing Stock &amp; W Capital'!$D$15))*$C$152*H$124</f>
        <v>0</v>
      </c>
      <c r="I162" s="78">
        <f>((H94*(1-'5.Closing Stock &amp; W Capital'!$D$15))+(G94*'5.Closing Stock &amp; W Capital'!$D$15))*$C$152*I$124</f>
        <v>0</v>
      </c>
      <c r="J162" s="78">
        <f>((I94*(1-'5.Closing Stock &amp; W Capital'!$D$15))+(H94*'5.Closing Stock &amp; W Capital'!$D$15))*$C$152*J$124</f>
        <v>0</v>
      </c>
      <c r="K162" s="76"/>
      <c r="U162" s="76"/>
      <c r="V162" s="76"/>
      <c r="W162" s="76"/>
    </row>
    <row r="163" spans="1:23">
      <c r="A163" s="77" t="str">
        <f t="shared" si="53"/>
        <v>Onion</v>
      </c>
      <c r="B163" s="77"/>
      <c r="C163" s="225"/>
      <c r="D163" s="78">
        <f>(C95*(1-'5.Closing Stock &amp; W Capital'!$D$15))*$C163*D$124</f>
        <v>0</v>
      </c>
      <c r="E163" s="78">
        <f>((D95*(1-'5.Closing Stock &amp; W Capital'!$D$15))+(C95*'5.Closing Stock &amp; W Capital'!$D$15))*$C163*E$124</f>
        <v>0</v>
      </c>
      <c r="F163" s="78">
        <f>((E95*(1-'5.Closing Stock &amp; W Capital'!$D$15))+(D95*'5.Closing Stock &amp; W Capital'!$D$15))*$C$152*F$124</f>
        <v>0</v>
      </c>
      <c r="G163" s="78">
        <f>((F95*(1-'5.Closing Stock &amp; W Capital'!$D$15))+(E95*'5.Closing Stock &amp; W Capital'!$D$15))*$C$152*G$124</f>
        <v>0</v>
      </c>
      <c r="H163" s="78">
        <f>((G95*(1-'5.Closing Stock &amp; W Capital'!$D$15))+(F95*'5.Closing Stock &amp; W Capital'!$D$15))*$C$152*H$124</f>
        <v>0</v>
      </c>
      <c r="I163" s="78">
        <f>((H95*(1-'5.Closing Stock &amp; W Capital'!$D$15))+(G95*'5.Closing Stock &amp; W Capital'!$D$15))*$C$152*I$124</f>
        <v>0</v>
      </c>
      <c r="J163" s="78">
        <f>((I95*(1-'5.Closing Stock &amp; W Capital'!$D$15))+(H95*'5.Closing Stock &amp; W Capital'!$D$15))*$C$152*J$124</f>
        <v>0</v>
      </c>
      <c r="K163" s="76"/>
      <c r="U163" s="76"/>
      <c r="V163" s="76"/>
      <c r="W163" s="76"/>
    </row>
    <row r="164" spans="1:23">
      <c r="A164" s="77" t="str">
        <f t="shared" si="53"/>
        <v>Tomato</v>
      </c>
      <c r="B164" s="77"/>
      <c r="C164" s="225"/>
      <c r="D164" s="78">
        <f>(C96*(1-'5.Closing Stock &amp; W Capital'!$D$15))*$C164*D$124</f>
        <v>0</v>
      </c>
      <c r="E164" s="78">
        <f>((D96*(1-'5.Closing Stock &amp; W Capital'!$D$15))+(C96*'5.Closing Stock &amp; W Capital'!$D$15))*$C164*E$124</f>
        <v>0</v>
      </c>
      <c r="F164" s="78">
        <f>((E96*(1-'5.Closing Stock &amp; W Capital'!$D$15))+(D96*'5.Closing Stock &amp; W Capital'!$D$15))*$C$152*F$124</f>
        <v>0</v>
      </c>
      <c r="G164" s="78">
        <f>((F96*(1-'5.Closing Stock &amp; W Capital'!$D$15))+(E96*'5.Closing Stock &amp; W Capital'!$D$15))*$C$152*G$124</f>
        <v>0</v>
      </c>
      <c r="H164" s="78">
        <f>((G96*(1-'5.Closing Stock &amp; W Capital'!$D$15))+(F96*'5.Closing Stock &amp; W Capital'!$D$15))*$C$152*H$124</f>
        <v>0</v>
      </c>
      <c r="I164" s="78">
        <f>((H96*(1-'5.Closing Stock &amp; W Capital'!$D$15))+(G96*'5.Closing Stock &amp; W Capital'!$D$15))*$C$152*I$124</f>
        <v>0</v>
      </c>
      <c r="J164" s="78">
        <f>((I96*(1-'5.Closing Stock &amp; W Capital'!$D$15))+(H96*'5.Closing Stock &amp; W Capital'!$D$15))*$C$152*J$124</f>
        <v>0</v>
      </c>
      <c r="K164" s="76"/>
      <c r="U164" s="76"/>
      <c r="V164" s="76"/>
      <c r="W164" s="76"/>
    </row>
    <row r="165" spans="1:23">
      <c r="A165" s="77" t="str">
        <f t="shared" si="53"/>
        <v>Okra</v>
      </c>
      <c r="B165" s="77"/>
      <c r="C165" s="225"/>
      <c r="D165" s="78">
        <f>(C97*(1-'5.Closing Stock &amp; W Capital'!$D$15))*$C165*D$124</f>
        <v>0</v>
      </c>
      <c r="E165" s="78">
        <f>((D97*(1-'5.Closing Stock &amp; W Capital'!$D$15))+(C97*'5.Closing Stock &amp; W Capital'!$D$15))*$C165*E$124</f>
        <v>0</v>
      </c>
      <c r="F165" s="78">
        <f>((E97*(1-'5.Closing Stock &amp; W Capital'!$D$15))+(D97*'5.Closing Stock &amp; W Capital'!$D$15))*$C$152*F$124</f>
        <v>0</v>
      </c>
      <c r="G165" s="78">
        <f>((F97*(1-'5.Closing Stock &amp; W Capital'!$D$15))+(E97*'5.Closing Stock &amp; W Capital'!$D$15))*$C$152*G$124</f>
        <v>0</v>
      </c>
      <c r="H165" s="78">
        <f>((G97*(1-'5.Closing Stock &amp; W Capital'!$D$15))+(F97*'5.Closing Stock &amp; W Capital'!$D$15))*$C$152*H$124</f>
        <v>0</v>
      </c>
      <c r="I165" s="78">
        <f>((H97*(1-'5.Closing Stock &amp; W Capital'!$D$15))+(G97*'5.Closing Stock &amp; W Capital'!$D$15))*$C$152*I$124</f>
        <v>0</v>
      </c>
      <c r="J165" s="78">
        <f>((I97*(1-'5.Closing Stock &amp; W Capital'!$D$15))+(H97*'5.Closing Stock &amp; W Capital'!$D$15))*$C$152*J$124</f>
        <v>0</v>
      </c>
      <c r="K165" s="76"/>
      <c r="U165" s="76"/>
      <c r="V165" s="76"/>
      <c r="W165" s="76"/>
    </row>
    <row r="166" spans="1:23">
      <c r="A166" s="77" t="str">
        <f t="shared" si="53"/>
        <v>Chilli</v>
      </c>
      <c r="B166" s="77"/>
      <c r="C166" s="225"/>
      <c r="D166" s="78">
        <f>(C98*(1-'5.Closing Stock &amp; W Capital'!$D$15))*$C166*D$124</f>
        <v>0</v>
      </c>
      <c r="E166" s="78">
        <f>((D98*(1-'5.Closing Stock &amp; W Capital'!$D$15))+(C98*'5.Closing Stock &amp; W Capital'!$D$15))*$C166*E$124</f>
        <v>0</v>
      </c>
      <c r="F166" s="78">
        <f>((E98*(1-'5.Closing Stock &amp; W Capital'!$D$15))+(D98*'5.Closing Stock &amp; W Capital'!$D$15))*$C$152*F$124</f>
        <v>0</v>
      </c>
      <c r="G166" s="78">
        <f>((F98*(1-'5.Closing Stock &amp; W Capital'!$D$15))+(E98*'5.Closing Stock &amp; W Capital'!$D$15))*$C$152*G$124</f>
        <v>0</v>
      </c>
      <c r="H166" s="78">
        <f>((G98*(1-'5.Closing Stock &amp; W Capital'!$D$15))+(F98*'5.Closing Stock &amp; W Capital'!$D$15))*$C$152*H$124</f>
        <v>0</v>
      </c>
      <c r="I166" s="78">
        <f>((H98*(1-'5.Closing Stock &amp; W Capital'!$D$15))+(G98*'5.Closing Stock &amp; W Capital'!$D$15))*$C$152*I$124</f>
        <v>0</v>
      </c>
      <c r="J166" s="78">
        <f>((I98*(1-'5.Closing Stock &amp; W Capital'!$D$15))+(H98*'5.Closing Stock &amp; W Capital'!$D$15))*$C$152*J$124</f>
        <v>0</v>
      </c>
      <c r="K166" s="76"/>
      <c r="U166" s="76"/>
      <c r="V166" s="76"/>
      <c r="W166" s="76"/>
    </row>
    <row r="167" spans="1:23">
      <c r="A167" s="77" t="str">
        <f t="shared" si="53"/>
        <v>Brinjal</v>
      </c>
      <c r="B167" s="77"/>
      <c r="C167" s="225"/>
      <c r="D167" s="78">
        <f>(C99*(1-'5.Closing Stock &amp; W Capital'!$D$15))*$C167*D$124</f>
        <v>0</v>
      </c>
      <c r="E167" s="78">
        <f>((D99*(1-'5.Closing Stock &amp; W Capital'!$D$15))+(C99*'5.Closing Stock &amp; W Capital'!$D$15))*$C167*E$124</f>
        <v>0</v>
      </c>
      <c r="F167" s="78">
        <f>((E99*(1-'5.Closing Stock &amp; W Capital'!$D$15))+(D99*'5.Closing Stock &amp; W Capital'!$D$15))*$C$152*F$124</f>
        <v>0</v>
      </c>
      <c r="G167" s="78">
        <f>((F99*(1-'5.Closing Stock &amp; W Capital'!$D$15))+(E99*'5.Closing Stock &amp; W Capital'!$D$15))*$C$152*G$124</f>
        <v>0</v>
      </c>
      <c r="H167" s="78">
        <f>((G99*(1-'5.Closing Stock &amp; W Capital'!$D$15))+(F99*'5.Closing Stock &amp; W Capital'!$D$15))*$C$152*H$124</f>
        <v>0</v>
      </c>
      <c r="I167" s="78">
        <f>((H99*(1-'5.Closing Stock &amp; W Capital'!$D$15))+(G99*'5.Closing Stock &amp; W Capital'!$D$15))*$C$152*I$124</f>
        <v>0</v>
      </c>
      <c r="J167" s="78">
        <f>((I99*(1-'5.Closing Stock &amp; W Capital'!$D$15))+(H99*'5.Closing Stock &amp; W Capital'!$D$15))*$C$152*J$124</f>
        <v>0</v>
      </c>
      <c r="K167" s="76"/>
      <c r="U167" s="76"/>
      <c r="V167" s="76"/>
      <c r="W167" s="76"/>
    </row>
    <row r="168" spans="1:23">
      <c r="A168" s="77">
        <f t="shared" si="53"/>
        <v>0</v>
      </c>
      <c r="B168" s="77"/>
      <c r="C168" s="225"/>
      <c r="D168" s="78">
        <f>(C100*(1-'5.Closing Stock &amp; W Capital'!$D$15))*$C168*D$124</f>
        <v>0</v>
      </c>
      <c r="E168" s="78">
        <f>((D100*(1-'5.Closing Stock &amp; W Capital'!$D$15))+(C100*'5.Closing Stock &amp; W Capital'!$D$15))*$C168*E$124</f>
        <v>0</v>
      </c>
      <c r="F168" s="78">
        <f>((E100*(1-'5.Closing Stock &amp; W Capital'!$D$15))+(D100*'5.Closing Stock &amp; W Capital'!$D$15))*$C$152*F$124</f>
        <v>0</v>
      </c>
      <c r="G168" s="78">
        <f>((F100*(1-'5.Closing Stock &amp; W Capital'!$D$15))+(E100*'5.Closing Stock &amp; W Capital'!$D$15))*$C$152*G$124</f>
        <v>0</v>
      </c>
      <c r="H168" s="78">
        <f>((G100*(1-'5.Closing Stock &amp; W Capital'!$D$15))+(F100*'5.Closing Stock &amp; W Capital'!$D$15))*$C$152*H$124</f>
        <v>0</v>
      </c>
      <c r="I168" s="78">
        <f>((H100*(1-'5.Closing Stock &amp; W Capital'!$D$15))+(G100*'5.Closing Stock &amp; W Capital'!$D$15))*$C$152*I$124</f>
        <v>0</v>
      </c>
      <c r="J168" s="78">
        <f>((I100*(1-'5.Closing Stock &amp; W Capital'!$D$15))+(H100*'5.Closing Stock &amp; W Capital'!$D$15))*$C$152*J$124</f>
        <v>0</v>
      </c>
      <c r="K168" s="76"/>
      <c r="U168" s="76"/>
      <c r="V168" s="76"/>
      <c r="W168" s="76"/>
    </row>
    <row r="169" spans="1:23">
      <c r="A169" s="77">
        <f t="shared" si="53"/>
        <v>0</v>
      </c>
      <c r="B169" s="77"/>
      <c r="C169" s="225"/>
      <c r="D169" s="78">
        <f>(C101*(1-'5.Closing Stock &amp; W Capital'!$D$15))*$C169*D$124</f>
        <v>0</v>
      </c>
      <c r="E169" s="78">
        <f>((D101*(1-'5.Closing Stock &amp; W Capital'!$D$15))+(C101*'5.Closing Stock &amp; W Capital'!$D$15))*$C169*E$124</f>
        <v>0</v>
      </c>
      <c r="F169" s="78">
        <f>((E101*(1-'5.Closing Stock &amp; W Capital'!$D$15))+(D101*'5.Closing Stock &amp; W Capital'!$D$15))*$C$152*F$124</f>
        <v>0</v>
      </c>
      <c r="G169" s="78">
        <f>((F101*(1-'5.Closing Stock &amp; W Capital'!$D$15))+(E101*'5.Closing Stock &amp; W Capital'!$D$15))*$C$152*G$124</f>
        <v>0</v>
      </c>
      <c r="H169" s="78">
        <f>((G101*(1-'5.Closing Stock &amp; W Capital'!$D$15))+(F101*'5.Closing Stock &amp; W Capital'!$D$15))*$C$152*H$124</f>
        <v>0</v>
      </c>
      <c r="I169" s="78">
        <f>((H101*(1-'5.Closing Stock &amp; W Capital'!$D$15))+(G101*'5.Closing Stock &amp; W Capital'!$D$15))*$C$152*I$124</f>
        <v>0</v>
      </c>
      <c r="J169" s="78">
        <f>((I101*(1-'5.Closing Stock &amp; W Capital'!$D$15))+(H101*'5.Closing Stock &amp; W Capital'!$D$15))*$C$152*J$124</f>
        <v>0</v>
      </c>
      <c r="K169" s="76"/>
      <c r="U169" s="76"/>
      <c r="V169" s="76"/>
      <c r="W169" s="76"/>
    </row>
    <row r="170" spans="1:23">
      <c r="A170" s="77">
        <f t="shared" si="53"/>
        <v>0</v>
      </c>
      <c r="B170" s="77"/>
      <c r="C170" s="225"/>
      <c r="D170" s="78">
        <f>(C102*(1-'5.Closing Stock &amp; W Capital'!$D$15))*$C170*D$124</f>
        <v>0</v>
      </c>
      <c r="E170" s="78">
        <f>((D102*(1-'5.Closing Stock &amp; W Capital'!$D$15))+(C102*'5.Closing Stock &amp; W Capital'!$D$15))*$C170*E$124</f>
        <v>0</v>
      </c>
      <c r="F170" s="78">
        <f>((E102*(1-'5.Closing Stock &amp; W Capital'!$D$15))+(D102*'5.Closing Stock &amp; W Capital'!$D$15))*$C$152*F$124</f>
        <v>0</v>
      </c>
      <c r="G170" s="78">
        <f>((F102*(1-'5.Closing Stock &amp; W Capital'!$D$15))+(E102*'5.Closing Stock &amp; W Capital'!$D$15))*$C$152*G$124</f>
        <v>0</v>
      </c>
      <c r="H170" s="78">
        <f>((G102*(1-'5.Closing Stock &amp; W Capital'!$D$15))+(F102*'5.Closing Stock &amp; W Capital'!$D$15))*$C$152*H$124</f>
        <v>0</v>
      </c>
      <c r="I170" s="78">
        <f>((H102*(1-'5.Closing Stock &amp; W Capital'!$D$15))+(G102*'5.Closing Stock &amp; W Capital'!$D$15))*$C$152*I$124</f>
        <v>0</v>
      </c>
      <c r="J170" s="78">
        <f>((I102*(1-'5.Closing Stock &amp; W Capital'!$D$15))+(H102*'5.Closing Stock &amp; W Capital'!$D$15))*$C$152*J$124</f>
        <v>0</v>
      </c>
      <c r="K170" s="76"/>
      <c r="U170" s="76"/>
      <c r="V170" s="76"/>
      <c r="W170" s="76"/>
    </row>
    <row r="171" spans="1:23">
      <c r="A171" s="77">
        <f t="shared" si="53"/>
        <v>0</v>
      </c>
      <c r="B171" s="77"/>
      <c r="C171" s="225"/>
      <c r="D171" s="78">
        <f>(C103*(1-'5.Closing Stock &amp; W Capital'!$D$15))*$C171*D$124</f>
        <v>0</v>
      </c>
      <c r="E171" s="78">
        <f>((D103*(1-'5.Closing Stock &amp; W Capital'!$D$15))+(C103*'5.Closing Stock &amp; W Capital'!$D$15))*$C171*E$124</f>
        <v>0</v>
      </c>
      <c r="F171" s="78">
        <f>((E103*(1-'5.Closing Stock &amp; W Capital'!$D$15))+(D103*'5.Closing Stock &amp; W Capital'!$D$15))*$C$152*F$124</f>
        <v>0</v>
      </c>
      <c r="G171" s="78">
        <f>((F103*(1-'5.Closing Stock &amp; W Capital'!$D$15))+(E103*'5.Closing Stock &amp; W Capital'!$D$15))*$C$152*G$124</f>
        <v>0</v>
      </c>
      <c r="H171" s="78">
        <f>((G103*(1-'5.Closing Stock &amp; W Capital'!$D$15))+(F103*'5.Closing Stock &amp; W Capital'!$D$15))*$C$152*H$124</f>
        <v>0</v>
      </c>
      <c r="I171" s="78">
        <f>((H103*(1-'5.Closing Stock &amp; W Capital'!$D$15))+(G103*'5.Closing Stock &amp; W Capital'!$D$15))*$C$152*I$124</f>
        <v>0</v>
      </c>
      <c r="J171" s="78">
        <f>((I103*(1-'5.Closing Stock &amp; W Capital'!$D$15))+(H103*'5.Closing Stock &amp; W Capital'!$D$15))*$C$152*J$124</f>
        <v>0</v>
      </c>
      <c r="K171" s="76"/>
      <c r="U171" s="76"/>
      <c r="V171" s="76"/>
      <c r="W171" s="76"/>
    </row>
    <row r="172" spans="1:23">
      <c r="A172" s="77">
        <f t="shared" si="53"/>
        <v>0</v>
      </c>
      <c r="B172" s="77"/>
      <c r="C172" s="225"/>
      <c r="D172" s="78">
        <f>(C104*(1-'5.Closing Stock &amp; W Capital'!$D$15))*$C172*D$124</f>
        <v>0</v>
      </c>
      <c r="E172" s="78">
        <f>((D104*(1-'5.Closing Stock &amp; W Capital'!$D$15))+(C104*'5.Closing Stock &amp; W Capital'!$D$15))*$C172*E$124</f>
        <v>0</v>
      </c>
      <c r="F172" s="78">
        <f>((E104*(1-'5.Closing Stock &amp; W Capital'!$D$15))+(D104*'5.Closing Stock &amp; W Capital'!$D$15))*$C$152*F$124</f>
        <v>0</v>
      </c>
      <c r="G172" s="78">
        <f>((F104*(1-'5.Closing Stock &amp; W Capital'!$D$15))+(E104*'5.Closing Stock &amp; W Capital'!$D$15))*$C$152*G$124</f>
        <v>0</v>
      </c>
      <c r="H172" s="78">
        <f>((G104*(1-'5.Closing Stock &amp; W Capital'!$D$15))+(F104*'5.Closing Stock &amp; W Capital'!$D$15))*$C$152*H$124</f>
        <v>0</v>
      </c>
      <c r="I172" s="78">
        <f>((H104*(1-'5.Closing Stock &amp; W Capital'!$D$15))+(G104*'5.Closing Stock &amp; W Capital'!$D$15))*$C$152*I$124</f>
        <v>0</v>
      </c>
      <c r="J172" s="78">
        <f>((I104*(1-'5.Closing Stock &amp; W Capital'!$D$15))+(H104*'5.Closing Stock &amp; W Capital'!$D$15))*$C$152*J$124</f>
        <v>0</v>
      </c>
      <c r="K172" s="76"/>
      <c r="U172" s="76"/>
      <c r="V172" s="76"/>
      <c r="W172" s="76"/>
    </row>
    <row r="173" spans="1:23">
      <c r="A173" s="77">
        <f t="shared" si="53"/>
        <v>0</v>
      </c>
      <c r="B173" s="77"/>
      <c r="C173" s="225"/>
      <c r="D173" s="78">
        <f>(C105*(1-'5.Closing Stock &amp; W Capital'!$D$15))*$C173*D$124</f>
        <v>0</v>
      </c>
      <c r="E173" s="78">
        <f>((D105*(1-'5.Closing Stock &amp; W Capital'!$D$15))+(C105*'5.Closing Stock &amp; W Capital'!$D$15))*$C173*E$124</f>
        <v>0</v>
      </c>
      <c r="F173" s="78">
        <f>((E105*(1-'5.Closing Stock &amp; W Capital'!$D$15))+(D105*'5.Closing Stock &amp; W Capital'!$D$15))*$C$152*F$124</f>
        <v>0</v>
      </c>
      <c r="G173" s="78">
        <f>((F105*(1-'5.Closing Stock &amp; W Capital'!$D$15))+(E105*'5.Closing Stock &amp; W Capital'!$D$15))*$C$152*G$124</f>
        <v>0</v>
      </c>
      <c r="H173" s="78">
        <f>((G105*(1-'5.Closing Stock &amp; W Capital'!$D$15))+(F105*'5.Closing Stock &amp; W Capital'!$D$15))*$C$152*H$124</f>
        <v>0</v>
      </c>
      <c r="I173" s="78">
        <f>((H105*(1-'5.Closing Stock &amp; W Capital'!$D$15))+(G105*'5.Closing Stock &amp; W Capital'!$D$15))*$C$152*I$124</f>
        <v>0</v>
      </c>
      <c r="J173" s="78">
        <f>((I105*(1-'5.Closing Stock &amp; W Capital'!$D$15))+(H105*'5.Closing Stock &amp; W Capital'!$D$15))*$C$152*J$124</f>
        <v>0</v>
      </c>
      <c r="K173" s="76"/>
      <c r="U173" s="76"/>
      <c r="V173" s="76"/>
      <c r="W173" s="76"/>
    </row>
    <row r="174" spans="1:23">
      <c r="A174" s="77">
        <f t="shared" si="53"/>
        <v>0</v>
      </c>
      <c r="B174" s="77"/>
      <c r="C174" s="225"/>
      <c r="D174" s="78">
        <f>(C106*(1-'5.Closing Stock &amp; W Capital'!$D$15))*$C174*D$124</f>
        <v>0</v>
      </c>
      <c r="E174" s="78">
        <f>((D106*(1-'5.Closing Stock &amp; W Capital'!$D$15))+(C106*'5.Closing Stock &amp; W Capital'!$D$15))*$C174*E$124</f>
        <v>0</v>
      </c>
      <c r="F174" s="78">
        <f>((E106*(1-'5.Closing Stock &amp; W Capital'!$D$15))+(D106*'5.Closing Stock &amp; W Capital'!$D$15))*$C$152*F$124</f>
        <v>0</v>
      </c>
      <c r="G174" s="78">
        <f>((F106*(1-'5.Closing Stock &amp; W Capital'!$D$15))+(E106*'5.Closing Stock &amp; W Capital'!$D$15))*$C$152*G$124</f>
        <v>0</v>
      </c>
      <c r="H174" s="78">
        <f>((G106*(1-'5.Closing Stock &amp; W Capital'!$D$15))+(F106*'5.Closing Stock &amp; W Capital'!$D$15))*$C$152*H$124</f>
        <v>0</v>
      </c>
      <c r="I174" s="78">
        <f>((H106*(1-'5.Closing Stock &amp; W Capital'!$D$15))+(G106*'5.Closing Stock &amp; W Capital'!$D$15))*$C$152*I$124</f>
        <v>0</v>
      </c>
      <c r="J174" s="78">
        <f>((I106*(1-'5.Closing Stock &amp; W Capital'!$D$15))+(H106*'5.Closing Stock &amp; W Capital'!$D$15))*$C$152*J$124</f>
        <v>0</v>
      </c>
      <c r="K174" s="76"/>
      <c r="U174" s="76"/>
      <c r="V174" s="76"/>
      <c r="W174" s="76"/>
    </row>
    <row r="175" spans="1:23">
      <c r="A175" s="77" t="str">
        <f t="shared" si="53"/>
        <v>Pomegranate</v>
      </c>
      <c r="B175" s="77"/>
      <c r="C175" s="225"/>
      <c r="D175" s="78">
        <f>(C107*(1-'5.Closing Stock &amp; W Capital'!$D$15))*$C175*D$124</f>
        <v>0</v>
      </c>
      <c r="E175" s="78">
        <f>((D107*(1-'5.Closing Stock &amp; W Capital'!$D$15))+(C107*'5.Closing Stock &amp; W Capital'!$D$15))*$C175*E$124</f>
        <v>0</v>
      </c>
      <c r="F175" s="78">
        <f>((E107*(1-'5.Closing Stock &amp; W Capital'!$D$15))+(D107*'5.Closing Stock &amp; W Capital'!$D$15))*$C$152*F$124</f>
        <v>0</v>
      </c>
      <c r="G175" s="78">
        <f>((F107*(1-'5.Closing Stock &amp; W Capital'!$D$15))+(E107*'5.Closing Stock &amp; W Capital'!$D$15))*$C$152*G$124</f>
        <v>0</v>
      </c>
      <c r="H175" s="78">
        <f>((G107*(1-'5.Closing Stock &amp; W Capital'!$D$15))+(F107*'5.Closing Stock &amp; W Capital'!$D$15))*$C$152*H$124</f>
        <v>0</v>
      </c>
      <c r="I175" s="78">
        <f>((H107*(1-'5.Closing Stock &amp; W Capital'!$D$15))+(G107*'5.Closing Stock &amp; W Capital'!$D$15))*$C$152*I$124</f>
        <v>0</v>
      </c>
      <c r="J175" s="78">
        <f>((I107*(1-'5.Closing Stock &amp; W Capital'!$D$15))+(H107*'5.Closing Stock &amp; W Capital'!$D$15))*$C$152*J$124</f>
        <v>0</v>
      </c>
      <c r="K175" s="76"/>
      <c r="U175" s="76"/>
      <c r="V175" s="76"/>
      <c r="W175" s="76"/>
    </row>
    <row r="176" spans="1:23">
      <c r="A176" s="77" t="str">
        <f t="shared" si="53"/>
        <v>Custard Apple</v>
      </c>
      <c r="B176" s="77"/>
      <c r="C176" s="225"/>
      <c r="D176" s="78">
        <f>(C108*(1-'5.Closing Stock &amp; W Capital'!$D$15))*$C176*D$124</f>
        <v>0</v>
      </c>
      <c r="E176" s="78">
        <f>((D108*(1-'5.Closing Stock &amp; W Capital'!$D$15))+(C108*'5.Closing Stock &amp; W Capital'!$D$15))*$C176*E$124</f>
        <v>0</v>
      </c>
      <c r="F176" s="78">
        <f>((E108*(1-'5.Closing Stock &amp; W Capital'!$D$15))+(D108*'5.Closing Stock &amp; W Capital'!$D$15))*$C$152*F$124</f>
        <v>0</v>
      </c>
      <c r="G176" s="78">
        <f>((F108*(1-'5.Closing Stock &amp; W Capital'!$D$15))+(E108*'5.Closing Stock &amp; W Capital'!$D$15))*$C$152*G$124</f>
        <v>0</v>
      </c>
      <c r="H176" s="78">
        <f>((G108*(1-'5.Closing Stock &amp; W Capital'!$D$15))+(F108*'5.Closing Stock &amp; W Capital'!$D$15))*$C$152*H$124</f>
        <v>0</v>
      </c>
      <c r="I176" s="78">
        <f>((H108*(1-'5.Closing Stock &amp; W Capital'!$D$15))+(G108*'5.Closing Stock &amp; W Capital'!$D$15))*$C$152*I$124</f>
        <v>0</v>
      </c>
      <c r="J176" s="78">
        <f>((I108*(1-'5.Closing Stock &amp; W Capital'!$D$15))+(H108*'5.Closing Stock &amp; W Capital'!$D$15))*$C$152*J$124</f>
        <v>0</v>
      </c>
      <c r="K176" s="76"/>
      <c r="U176" s="76"/>
      <c r="V176" s="76"/>
      <c r="W176" s="76"/>
    </row>
    <row r="177" spans="1:23">
      <c r="A177" s="77" t="str">
        <f t="shared" si="53"/>
        <v>Guava</v>
      </c>
      <c r="B177" s="77"/>
      <c r="C177" s="225"/>
      <c r="D177" s="78">
        <f>(C109*(1-'5.Closing Stock &amp; W Capital'!$D$15))*$C177*D$124</f>
        <v>0</v>
      </c>
      <c r="E177" s="78">
        <f>((D109*(1-'5.Closing Stock &amp; W Capital'!$D$15))+(C109*'5.Closing Stock &amp; W Capital'!$D$15))*$C177*E$124</f>
        <v>0</v>
      </c>
      <c r="F177" s="78">
        <f>((E109*(1-'5.Closing Stock &amp; W Capital'!$D$15))+(D109*'5.Closing Stock &amp; W Capital'!$D$15))*$C$152*F$124</f>
        <v>0</v>
      </c>
      <c r="G177" s="78">
        <f>((F109*(1-'5.Closing Stock &amp; W Capital'!$D$15))+(E109*'5.Closing Stock &amp; W Capital'!$D$15))*$C$152*G$124</f>
        <v>0</v>
      </c>
      <c r="H177" s="78">
        <f>((G109*(1-'5.Closing Stock &amp; W Capital'!$D$15))+(F109*'5.Closing Stock &amp; W Capital'!$D$15))*$C$152*H$124</f>
        <v>0</v>
      </c>
      <c r="I177" s="78">
        <f>((H109*(1-'5.Closing Stock &amp; W Capital'!$D$15))+(G109*'5.Closing Stock &amp; W Capital'!$D$15))*$C$152*I$124</f>
        <v>0</v>
      </c>
      <c r="J177" s="78">
        <f>((I109*(1-'5.Closing Stock &amp; W Capital'!$D$15))+(H109*'5.Closing Stock &amp; W Capital'!$D$15))*$C$152*J$124</f>
        <v>0</v>
      </c>
      <c r="K177" s="76"/>
      <c r="U177" s="76"/>
      <c r="V177" s="76"/>
      <c r="W177" s="76"/>
    </row>
    <row r="178" spans="1:23">
      <c r="A178" s="77" t="str">
        <f t="shared" si="53"/>
        <v>Citrus</v>
      </c>
      <c r="B178" s="77"/>
      <c r="C178" s="225"/>
      <c r="D178" s="78">
        <f>(C110*(1-'5.Closing Stock &amp; W Capital'!$D$15))*$C178*D$124</f>
        <v>0</v>
      </c>
      <c r="E178" s="78">
        <f>((D110*(1-'5.Closing Stock &amp; W Capital'!$D$15))+(C110*'5.Closing Stock &amp; W Capital'!$D$15))*$C178*E$124</f>
        <v>0</v>
      </c>
      <c r="F178" s="78">
        <f>((E110*(1-'5.Closing Stock &amp; W Capital'!$D$15))+(D110*'5.Closing Stock &amp; W Capital'!$D$15))*$C$152*F$124</f>
        <v>0</v>
      </c>
      <c r="G178" s="78">
        <f>((F110*(1-'5.Closing Stock &amp; W Capital'!$D$15))+(E110*'5.Closing Stock &amp; W Capital'!$D$15))*$C$152*G$124</f>
        <v>0</v>
      </c>
      <c r="H178" s="78">
        <f>((G110*(1-'5.Closing Stock &amp; W Capital'!$D$15))+(F110*'5.Closing Stock &amp; W Capital'!$D$15))*$C$152*H$124</f>
        <v>0</v>
      </c>
      <c r="I178" s="78">
        <f>((H110*(1-'5.Closing Stock &amp; W Capital'!$D$15))+(G110*'5.Closing Stock &amp; W Capital'!$D$15))*$C$152*I$124</f>
        <v>0</v>
      </c>
      <c r="J178" s="78">
        <f>((I110*(1-'5.Closing Stock &amp; W Capital'!$D$15))+(H110*'5.Closing Stock &amp; W Capital'!$D$15))*$C$152*J$124</f>
        <v>0</v>
      </c>
      <c r="K178" s="76"/>
      <c r="U178" s="76"/>
      <c r="V178" s="76"/>
      <c r="W178" s="76"/>
    </row>
    <row r="179" spans="1:23">
      <c r="A179" s="77">
        <f t="shared" si="53"/>
        <v>0</v>
      </c>
      <c r="B179" s="77"/>
      <c r="C179" s="225"/>
      <c r="D179" s="78"/>
      <c r="E179" s="78"/>
      <c r="F179" s="78"/>
      <c r="G179" s="78"/>
      <c r="H179" s="78"/>
      <c r="I179" s="78"/>
      <c r="J179" s="78"/>
      <c r="K179" s="76"/>
      <c r="U179" s="76"/>
      <c r="V179" s="76"/>
      <c r="W179" s="76"/>
    </row>
    <row r="180" spans="1:23">
      <c r="A180" s="77"/>
      <c r="B180" s="77"/>
      <c r="C180" s="78"/>
      <c r="D180" s="78"/>
      <c r="E180" s="78"/>
      <c r="F180" s="78"/>
      <c r="G180" s="78"/>
      <c r="H180" s="78"/>
      <c r="I180" s="78"/>
      <c r="J180" s="78"/>
      <c r="K180" s="76"/>
      <c r="U180" s="76"/>
      <c r="V180" s="76"/>
      <c r="W180" s="76"/>
    </row>
    <row r="181" spans="1:23">
      <c r="A181" s="77" t="s">
        <v>288</v>
      </c>
      <c r="B181" s="77"/>
      <c r="C181" s="78"/>
      <c r="D181" s="78"/>
      <c r="E181" s="78"/>
      <c r="F181" s="78"/>
      <c r="G181" s="78"/>
      <c r="H181" s="78"/>
      <c r="I181" s="78"/>
      <c r="J181" s="78"/>
      <c r="K181" s="76"/>
      <c r="U181" s="76"/>
      <c r="V181" s="76"/>
      <c r="W181" s="76"/>
    </row>
    <row r="182" spans="1:23">
      <c r="A182" s="77" t="s">
        <v>413</v>
      </c>
      <c r="B182" s="77"/>
      <c r="C182" s="225">
        <f>350/50</f>
        <v>7</v>
      </c>
      <c r="D182" s="78">
        <f>(C114*(1-'5.Closing Stock &amp; W Capital'!$D$15))*$C$182*D124</f>
        <v>0</v>
      </c>
      <c r="E182" s="78">
        <f>((D114*(1-'5.Closing Stock &amp; W Capital'!$D$15))+(C114*'5.Closing Stock &amp; W Capital'!$D$15))*$C$182*E124</f>
        <v>0</v>
      </c>
      <c r="F182" s="78">
        <f>((E114*(1-'5.Closing Stock &amp; W Capital'!$D$15))+(D114*'5.Closing Stock &amp; W Capital'!$D$15))*$C$182*F124</f>
        <v>0</v>
      </c>
      <c r="G182" s="78">
        <f>((F114*(1-'5.Closing Stock &amp; W Capital'!$D$15))+(E114*'5.Closing Stock &amp; W Capital'!$D$15))*$C$182*G124</f>
        <v>0</v>
      </c>
      <c r="H182" s="78">
        <f>((G114*(1-'5.Closing Stock &amp; W Capital'!$D$15))+(F114*'5.Closing Stock &amp; W Capital'!$D$15))*$C$182*H124</f>
        <v>0</v>
      </c>
      <c r="I182" s="78">
        <f>((H114*(1-'5.Closing Stock &amp; W Capital'!$D$15))+(G114*'5.Closing Stock &amp; W Capital'!$D$15))*$C$182*I124</f>
        <v>0</v>
      </c>
      <c r="J182" s="78">
        <f>((I114*(1-'5.Closing Stock &amp; W Capital'!$D$15))+(H114*'5.Closing Stock &amp; W Capital'!$D$15))*$C$182*J124</f>
        <v>0</v>
      </c>
      <c r="K182" s="76"/>
      <c r="U182" s="76"/>
      <c r="V182" s="76"/>
      <c r="W182" s="76"/>
    </row>
    <row r="183" spans="1:23">
      <c r="A183" s="77" t="s">
        <v>179</v>
      </c>
      <c r="B183" s="77"/>
      <c r="C183" s="225">
        <v>8</v>
      </c>
      <c r="D183" s="78">
        <f>(C115*(1-'5.Closing Stock &amp; W Capital'!$D$15))*$C$183*D124</f>
        <v>0</v>
      </c>
      <c r="E183" s="78">
        <f>((D115*(1-'5.Closing Stock &amp; W Capital'!$D$15))+(C115*'5.Closing Stock &amp; W Capital'!$D$15))*$C$183*E124</f>
        <v>0</v>
      </c>
      <c r="F183" s="78">
        <f>((E115*(1-'5.Closing Stock &amp; W Capital'!$D$15))+(D115*'5.Closing Stock &amp; W Capital'!$D$15))*$C$183*F124</f>
        <v>0</v>
      </c>
      <c r="G183" s="78">
        <f>((F115*(1-'5.Closing Stock &amp; W Capital'!$D$15))+(E115*'5.Closing Stock &amp; W Capital'!$D$15))*$C$183*G124</f>
        <v>0</v>
      </c>
      <c r="H183" s="78">
        <f>((G115*(1-'5.Closing Stock &amp; W Capital'!$D$15))+(F115*'5.Closing Stock &amp; W Capital'!$D$15))*$C$183*H124</f>
        <v>0</v>
      </c>
      <c r="I183" s="78">
        <f>((H115*(1-'5.Closing Stock &amp; W Capital'!$D$15))+(G115*'5.Closing Stock &amp; W Capital'!$D$15))*$C$183*I124</f>
        <v>0</v>
      </c>
      <c r="J183" s="78">
        <f>((I115*(1-'5.Closing Stock &amp; W Capital'!$D$15))+(H115*'5.Closing Stock &amp; W Capital'!$D$15))*$C$183*J124</f>
        <v>0</v>
      </c>
      <c r="K183" s="76"/>
      <c r="U183" s="76"/>
      <c r="V183" s="76"/>
      <c r="W183" s="76"/>
    </row>
    <row r="184" spans="1:23">
      <c r="A184" s="77" t="s">
        <v>181</v>
      </c>
      <c r="B184" s="77"/>
      <c r="C184" s="225">
        <v>30</v>
      </c>
      <c r="D184" s="78">
        <f>(C116*(1-'5.Closing Stock &amp; W Capital'!$D$15))*$C$184*D124</f>
        <v>0</v>
      </c>
      <c r="E184" s="78">
        <f>((D116*(1-'5.Closing Stock &amp; W Capital'!$D$15))+(C116*'5.Closing Stock &amp; W Capital'!$D$15))*$C$184*E124</f>
        <v>0</v>
      </c>
      <c r="F184" s="78">
        <f>((E116*(1-'5.Closing Stock &amp; W Capital'!$D$15))+(D116*'5.Closing Stock &amp; W Capital'!$D$15))*$C$184*F124</f>
        <v>0</v>
      </c>
      <c r="G184" s="78">
        <f>((F116*(1-'5.Closing Stock &amp; W Capital'!$D$15))+(E116*'5.Closing Stock &amp; W Capital'!$D$15))*$C$184*G124</f>
        <v>0</v>
      </c>
      <c r="H184" s="78">
        <f>((G116*(1-'5.Closing Stock &amp; W Capital'!$D$15))+(F116*'5.Closing Stock &amp; W Capital'!$D$15))*$C$184*H124</f>
        <v>0</v>
      </c>
      <c r="I184" s="78">
        <f>((H116*(1-'5.Closing Stock &amp; W Capital'!$D$15))+(G116*'5.Closing Stock &amp; W Capital'!$D$15))*$C$184*I124</f>
        <v>0</v>
      </c>
      <c r="J184" s="78">
        <f>((I116*(1-'5.Closing Stock &amp; W Capital'!$D$15))+(H116*'5.Closing Stock &amp; W Capital'!$D$15))*$C$184*J124</f>
        <v>0</v>
      </c>
      <c r="K184" s="76"/>
      <c r="U184" s="76"/>
      <c r="V184" s="76"/>
      <c r="W184" s="76"/>
    </row>
    <row r="185" spans="1:23">
      <c r="A185" s="77"/>
      <c r="B185" s="77"/>
      <c r="C185" s="78"/>
      <c r="D185" s="78"/>
      <c r="E185" s="78"/>
      <c r="F185" s="78"/>
      <c r="G185" s="78"/>
      <c r="H185" s="78"/>
      <c r="I185" s="78"/>
      <c r="J185" s="78"/>
      <c r="K185" s="76"/>
      <c r="U185" s="76"/>
      <c r="V185" s="76"/>
      <c r="W185" s="76"/>
    </row>
    <row r="186" spans="1:23">
      <c r="A186" s="77" t="s">
        <v>180</v>
      </c>
      <c r="B186" s="77"/>
      <c r="C186" s="78"/>
      <c r="D186" s="78"/>
      <c r="E186" s="78"/>
      <c r="F186" s="78"/>
      <c r="G186" s="78"/>
      <c r="H186" s="78"/>
      <c r="I186" s="78"/>
      <c r="J186" s="78"/>
      <c r="K186" s="76"/>
      <c r="U186" s="76"/>
      <c r="V186" s="76"/>
      <c r="W186" s="76"/>
    </row>
    <row r="187" spans="1:23">
      <c r="A187" s="77" t="s">
        <v>186</v>
      </c>
      <c r="B187" s="77"/>
      <c r="C187" s="225">
        <v>3000</v>
      </c>
      <c r="D187" s="78">
        <f>(C118*(1-'5.Closing Stock &amp; W Capital'!$D$15))*$C$187*D124</f>
        <v>0</v>
      </c>
      <c r="E187" s="78">
        <f>((D118*(1-'5.Closing Stock &amp; W Capital'!$D$15))+(C118*'5.Closing Stock &amp; W Capital'!$D$15))*$C$187*E124</f>
        <v>0</v>
      </c>
      <c r="F187" s="78">
        <f>((E118*(1-'5.Closing Stock &amp; W Capital'!$D$15))+(D118*'5.Closing Stock &amp; W Capital'!$D$15))*$C$187*F124</f>
        <v>0</v>
      </c>
      <c r="G187" s="78">
        <f>((F118*(1-'5.Closing Stock &amp; W Capital'!$D$15))+(E118*'5.Closing Stock &amp; W Capital'!$D$15))*$C$187*G124</f>
        <v>0</v>
      </c>
      <c r="H187" s="78">
        <f>((G118*(1-'5.Closing Stock &amp; W Capital'!$D$15))+(F118*'5.Closing Stock &amp; W Capital'!$D$15))*$C$187*H124</f>
        <v>0</v>
      </c>
      <c r="I187" s="78">
        <f>((H118*(1-'5.Closing Stock &amp; W Capital'!$D$15))+(G118*'5.Closing Stock &amp; W Capital'!$D$15))*$C$187*I124</f>
        <v>0</v>
      </c>
      <c r="J187" s="78">
        <f>((I118*(1-'5.Closing Stock &amp; W Capital'!$D$15))+(H118*'5.Closing Stock &amp; W Capital'!$D$15))*$C$187*J124</f>
        <v>0</v>
      </c>
      <c r="K187" s="76"/>
      <c r="U187" s="176"/>
      <c r="V187" s="176"/>
      <c r="W187" s="176"/>
    </row>
    <row r="188" spans="1:23">
      <c r="A188" s="77" t="s">
        <v>187</v>
      </c>
      <c r="B188" s="77"/>
      <c r="C188" s="225">
        <v>2200</v>
      </c>
      <c r="D188" s="78">
        <f>(C119*(1-'5.Closing Stock &amp; W Capital'!$D$15))*$C$188*D124</f>
        <v>0</v>
      </c>
      <c r="E188" s="78">
        <f>((D119*(1-'5.Closing Stock &amp; W Capital'!$D$15))+(C119*'5.Closing Stock &amp; W Capital'!$D$15))*$C$188*E124</f>
        <v>0</v>
      </c>
      <c r="F188" s="78">
        <f>((E119*(1-'5.Closing Stock &amp; W Capital'!$D$15))+(D119*'5.Closing Stock &amp; W Capital'!$D$15))*$C$188*F124</f>
        <v>0</v>
      </c>
      <c r="G188" s="78">
        <f>((F119*(1-'5.Closing Stock &amp; W Capital'!$D$15))+(E119*'5.Closing Stock &amp; W Capital'!$D$15))*$C$188*G124</f>
        <v>0</v>
      </c>
      <c r="H188" s="78">
        <f>((G119*(1-'5.Closing Stock &amp; W Capital'!$D$15))+(F119*'5.Closing Stock &amp; W Capital'!$D$15))*$C$188*H124</f>
        <v>0</v>
      </c>
      <c r="I188" s="78">
        <f>((H119*(1-'5.Closing Stock &amp; W Capital'!$D$15))+(G119*'5.Closing Stock &amp; W Capital'!$D$15))*$C$188*I124</f>
        <v>0</v>
      </c>
      <c r="J188" s="78">
        <f>((I119*(1-'5.Closing Stock &amp; W Capital'!$D$15))+(H119*'5.Closing Stock &amp; W Capital'!$D$15))*$C$188*J124</f>
        <v>0</v>
      </c>
      <c r="K188" s="76"/>
      <c r="U188" s="76"/>
      <c r="V188" s="76"/>
      <c r="W188" s="76"/>
    </row>
    <row r="189" spans="1:23">
      <c r="A189" s="77"/>
      <c r="B189" s="77"/>
      <c r="C189" s="78"/>
      <c r="D189" s="78"/>
      <c r="E189" s="78"/>
      <c r="F189" s="78"/>
      <c r="G189" s="78"/>
      <c r="H189" s="78"/>
      <c r="I189" s="78"/>
      <c r="J189" s="78"/>
      <c r="K189" s="76"/>
      <c r="U189" s="76"/>
      <c r="V189" s="76"/>
      <c r="W189" s="76"/>
    </row>
    <row r="190" spans="1:23">
      <c r="A190" s="77"/>
      <c r="B190" s="77"/>
      <c r="C190" s="78"/>
      <c r="D190" s="78"/>
      <c r="E190" s="78"/>
      <c r="F190" s="78"/>
      <c r="G190" s="78"/>
      <c r="H190" s="78"/>
      <c r="I190" s="78"/>
      <c r="J190" s="78"/>
      <c r="K190" s="76"/>
      <c r="U190" s="76"/>
      <c r="V190" s="76"/>
      <c r="W190" s="76"/>
    </row>
    <row r="191" spans="1:23">
      <c r="A191" s="79" t="s">
        <v>144</v>
      </c>
      <c r="B191" s="79"/>
      <c r="C191" s="95"/>
      <c r="D191" s="95">
        <f t="shared" ref="D191:J191" si="54">SUM(D130:D188)</f>
        <v>0</v>
      </c>
      <c r="E191" s="95">
        <f t="shared" si="54"/>
        <v>0</v>
      </c>
      <c r="F191" s="95">
        <f t="shared" si="54"/>
        <v>0</v>
      </c>
      <c r="G191" s="95">
        <f t="shared" si="54"/>
        <v>0</v>
      </c>
      <c r="H191" s="95">
        <f t="shared" si="54"/>
        <v>0</v>
      </c>
      <c r="I191" s="95">
        <f t="shared" si="54"/>
        <v>0</v>
      </c>
      <c r="J191" s="95">
        <f t="shared" si="54"/>
        <v>0</v>
      </c>
      <c r="K191" s="76"/>
      <c r="U191" s="76"/>
      <c r="V191" s="76"/>
      <c r="W191" s="76"/>
    </row>
    <row r="192" spans="1:23">
      <c r="A192" s="77"/>
      <c r="B192" s="77"/>
      <c r="C192" s="78"/>
      <c r="D192" s="78"/>
      <c r="E192" s="78"/>
      <c r="F192" s="78"/>
      <c r="G192" s="78"/>
      <c r="H192" s="78"/>
      <c r="I192" s="78"/>
      <c r="J192" s="78"/>
      <c r="K192" s="76"/>
      <c r="U192" s="76"/>
      <c r="V192" s="76"/>
      <c r="W192" s="76"/>
    </row>
    <row r="193" spans="1:23">
      <c r="A193" s="77"/>
      <c r="B193" s="77"/>
      <c r="C193" s="78"/>
      <c r="D193" s="78"/>
      <c r="E193" s="78"/>
      <c r="F193" s="78"/>
      <c r="G193" s="78"/>
      <c r="H193" s="78"/>
      <c r="I193" s="78"/>
      <c r="J193" s="78"/>
      <c r="K193" s="76"/>
      <c r="U193" s="76"/>
      <c r="V193" s="76"/>
      <c r="W193" s="76"/>
    </row>
    <row r="194" spans="1:23">
      <c r="A194" s="79" t="s">
        <v>143</v>
      </c>
      <c r="B194" s="79"/>
      <c r="C194" s="78"/>
      <c r="D194" s="78"/>
      <c r="E194" s="78"/>
      <c r="F194" s="78"/>
      <c r="G194" s="78"/>
      <c r="H194" s="78"/>
      <c r="I194" s="78"/>
      <c r="J194" s="78"/>
      <c r="K194" s="76"/>
      <c r="U194" s="76"/>
      <c r="V194" s="76"/>
      <c r="W194" s="76"/>
    </row>
    <row r="195" spans="1:23">
      <c r="A195" s="79" t="str">
        <f>A128</f>
        <v>Seeds (Rate/KG)</v>
      </c>
      <c r="B195" s="79"/>
      <c r="C195" s="78"/>
      <c r="D195" s="78"/>
      <c r="E195" s="78"/>
      <c r="F195" s="78"/>
      <c r="G195" s="78"/>
      <c r="H195" s="78"/>
      <c r="I195" s="78"/>
      <c r="J195" s="78"/>
      <c r="K195" s="76"/>
      <c r="U195" s="76"/>
      <c r="V195" s="76"/>
      <c r="W195" s="76"/>
    </row>
    <row r="196" spans="1:23">
      <c r="A196" s="76" t="s">
        <v>312</v>
      </c>
      <c r="B196" s="76"/>
      <c r="C196" s="76"/>
      <c r="D196" s="76"/>
      <c r="E196" s="76"/>
      <c r="F196" s="76"/>
      <c r="G196" s="76"/>
      <c r="H196" s="76"/>
      <c r="I196" s="76"/>
      <c r="J196" s="76"/>
      <c r="K196" s="76"/>
      <c r="U196" s="76"/>
      <c r="V196" s="76"/>
      <c r="W196" s="76"/>
    </row>
    <row r="197" spans="1:23">
      <c r="A197" s="77" t="str">
        <f t="shared" ref="A197:A238" si="55">A130</f>
        <v>Soybean</v>
      </c>
      <c r="B197" s="76"/>
      <c r="C197" s="225">
        <v>85</v>
      </c>
      <c r="D197" s="78">
        <f t="shared" ref="D197:J206" si="56">C62*$C197*D$124</f>
        <v>0</v>
      </c>
      <c r="E197" s="78">
        <f t="shared" si="56"/>
        <v>0</v>
      </c>
      <c r="F197" s="78">
        <f t="shared" si="56"/>
        <v>0</v>
      </c>
      <c r="G197" s="78">
        <f t="shared" si="56"/>
        <v>0</v>
      </c>
      <c r="H197" s="78">
        <f t="shared" si="56"/>
        <v>0</v>
      </c>
      <c r="I197" s="78">
        <f t="shared" si="56"/>
        <v>0</v>
      </c>
      <c r="J197" s="78">
        <f t="shared" si="56"/>
        <v>0</v>
      </c>
      <c r="K197" s="76"/>
      <c r="U197" s="76"/>
      <c r="V197" s="76"/>
      <c r="W197" s="76"/>
    </row>
    <row r="198" spans="1:23">
      <c r="A198" s="77" t="str">
        <f t="shared" si="55"/>
        <v>Red Gram/Tur</v>
      </c>
      <c r="B198" s="77"/>
      <c r="C198" s="225">
        <v>75</v>
      </c>
      <c r="D198" s="78">
        <f t="shared" si="56"/>
        <v>0</v>
      </c>
      <c r="E198" s="78">
        <f t="shared" si="56"/>
        <v>0</v>
      </c>
      <c r="F198" s="78">
        <f t="shared" si="56"/>
        <v>0</v>
      </c>
      <c r="G198" s="78">
        <f t="shared" si="56"/>
        <v>0</v>
      </c>
      <c r="H198" s="78">
        <f t="shared" si="56"/>
        <v>0</v>
      </c>
      <c r="I198" s="78">
        <f t="shared" si="56"/>
        <v>0</v>
      </c>
      <c r="J198" s="78">
        <f t="shared" si="56"/>
        <v>0</v>
      </c>
      <c r="K198" s="76"/>
      <c r="U198" s="76"/>
      <c r="V198" s="76"/>
      <c r="W198" s="76"/>
    </row>
    <row r="199" spans="1:23">
      <c r="A199" s="77" t="str">
        <f t="shared" si="55"/>
        <v>Paddy/Rice</v>
      </c>
      <c r="B199" s="77"/>
      <c r="C199" s="225">
        <v>57</v>
      </c>
      <c r="D199" s="78">
        <f t="shared" si="56"/>
        <v>0</v>
      </c>
      <c r="E199" s="78">
        <f t="shared" si="56"/>
        <v>0</v>
      </c>
      <c r="F199" s="78">
        <f t="shared" si="56"/>
        <v>0</v>
      </c>
      <c r="G199" s="78">
        <f t="shared" si="56"/>
        <v>0</v>
      </c>
      <c r="H199" s="78">
        <f t="shared" si="56"/>
        <v>0</v>
      </c>
      <c r="I199" s="78">
        <f t="shared" si="56"/>
        <v>0</v>
      </c>
      <c r="J199" s="78">
        <f t="shared" si="56"/>
        <v>0</v>
      </c>
      <c r="K199" s="76"/>
      <c r="U199" s="76"/>
      <c r="V199" s="76"/>
      <c r="W199" s="76"/>
    </row>
    <row r="200" spans="1:23">
      <c r="A200" s="77" t="str">
        <f t="shared" si="55"/>
        <v>Green Gram/ Moong</v>
      </c>
      <c r="B200" s="77"/>
      <c r="C200" s="225">
        <v>80</v>
      </c>
      <c r="D200" s="78">
        <f t="shared" si="56"/>
        <v>0</v>
      </c>
      <c r="E200" s="78">
        <f t="shared" si="56"/>
        <v>0</v>
      </c>
      <c r="F200" s="78">
        <f t="shared" si="56"/>
        <v>0</v>
      </c>
      <c r="G200" s="78">
        <f t="shared" si="56"/>
        <v>0</v>
      </c>
      <c r="H200" s="78">
        <f t="shared" si="56"/>
        <v>0</v>
      </c>
      <c r="I200" s="78">
        <f t="shared" si="56"/>
        <v>0</v>
      </c>
      <c r="J200" s="78">
        <f t="shared" si="56"/>
        <v>0</v>
      </c>
      <c r="K200" s="76"/>
      <c r="L200" s="76"/>
      <c r="M200" s="76"/>
      <c r="N200" s="76"/>
      <c r="O200" s="76"/>
      <c r="P200" s="76"/>
      <c r="Q200" s="76"/>
      <c r="R200" s="76"/>
      <c r="S200" s="76"/>
      <c r="T200" s="76"/>
      <c r="U200" s="76"/>
      <c r="V200" s="76"/>
      <c r="W200" s="76"/>
    </row>
    <row r="201" spans="1:23">
      <c r="A201" s="77" t="str">
        <f t="shared" si="55"/>
        <v>Maize</v>
      </c>
      <c r="B201" s="77"/>
      <c r="C201" s="225">
        <v>25</v>
      </c>
      <c r="D201" s="78">
        <f t="shared" si="56"/>
        <v>0</v>
      </c>
      <c r="E201" s="78">
        <f t="shared" si="56"/>
        <v>0</v>
      </c>
      <c r="F201" s="78">
        <f t="shared" si="56"/>
        <v>0</v>
      </c>
      <c r="G201" s="78">
        <f t="shared" si="56"/>
        <v>0</v>
      </c>
      <c r="H201" s="78">
        <f t="shared" si="56"/>
        <v>0</v>
      </c>
      <c r="I201" s="78">
        <f t="shared" si="56"/>
        <v>0</v>
      </c>
      <c r="J201" s="78">
        <f t="shared" si="56"/>
        <v>0</v>
      </c>
      <c r="K201" s="76"/>
      <c r="L201" s="76"/>
      <c r="M201" s="76"/>
      <c r="N201" s="76"/>
      <c r="O201" s="76"/>
      <c r="P201" s="76"/>
      <c r="Q201" s="76"/>
      <c r="R201" s="76"/>
      <c r="S201" s="76"/>
      <c r="T201" s="76"/>
      <c r="U201" s="76"/>
      <c r="V201" s="76"/>
      <c r="W201" s="76"/>
    </row>
    <row r="202" spans="1:23">
      <c r="A202" s="77" t="str">
        <f t="shared" si="55"/>
        <v>Black Gram/Udid</v>
      </c>
      <c r="B202" s="77"/>
      <c r="C202" s="225">
        <v>70</v>
      </c>
      <c r="D202" s="78">
        <f t="shared" si="56"/>
        <v>0</v>
      </c>
      <c r="E202" s="78">
        <f t="shared" si="56"/>
        <v>0</v>
      </c>
      <c r="F202" s="78">
        <f t="shared" si="56"/>
        <v>0</v>
      </c>
      <c r="G202" s="78">
        <f t="shared" si="56"/>
        <v>0</v>
      </c>
      <c r="H202" s="78">
        <f t="shared" si="56"/>
        <v>0</v>
      </c>
      <c r="I202" s="78">
        <f t="shared" si="56"/>
        <v>0</v>
      </c>
      <c r="J202" s="78">
        <f t="shared" si="56"/>
        <v>0</v>
      </c>
      <c r="K202" s="76"/>
      <c r="L202" s="76"/>
      <c r="M202" s="76"/>
      <c r="N202" s="76"/>
      <c r="O202" s="76"/>
      <c r="P202" s="76"/>
      <c r="Q202" s="76"/>
      <c r="R202" s="76"/>
      <c r="S202" s="76"/>
      <c r="T202" s="76"/>
      <c r="U202" s="76"/>
      <c r="V202" s="76"/>
      <c r="W202" s="76"/>
    </row>
    <row r="203" spans="1:23">
      <c r="A203" s="77" t="str">
        <f t="shared" si="55"/>
        <v>Bajra</v>
      </c>
      <c r="B203" s="77"/>
      <c r="C203" s="225">
        <v>25</v>
      </c>
      <c r="D203" s="78">
        <f t="shared" si="56"/>
        <v>0</v>
      </c>
      <c r="E203" s="78">
        <f t="shared" si="56"/>
        <v>0</v>
      </c>
      <c r="F203" s="78">
        <f t="shared" si="56"/>
        <v>0</v>
      </c>
      <c r="G203" s="78">
        <f t="shared" si="56"/>
        <v>0</v>
      </c>
      <c r="H203" s="78">
        <f t="shared" si="56"/>
        <v>0</v>
      </c>
      <c r="I203" s="78">
        <f t="shared" si="56"/>
        <v>0</v>
      </c>
      <c r="J203" s="78">
        <f t="shared" si="56"/>
        <v>0</v>
      </c>
      <c r="K203" s="76"/>
      <c r="L203" s="76"/>
      <c r="M203" s="76"/>
      <c r="N203" s="76"/>
      <c r="O203" s="76"/>
      <c r="P203" s="76"/>
      <c r="Q203" s="76"/>
      <c r="R203" s="76"/>
      <c r="S203" s="76"/>
      <c r="T203" s="76"/>
      <c r="U203" s="76"/>
      <c r="V203" s="76"/>
      <c r="W203" s="76"/>
    </row>
    <row r="204" spans="1:23">
      <c r="A204" s="77" t="str">
        <f t="shared" si="55"/>
        <v>Jawar</v>
      </c>
      <c r="B204" s="77"/>
      <c r="C204" s="225">
        <v>25</v>
      </c>
      <c r="D204" s="78">
        <f t="shared" si="56"/>
        <v>0</v>
      </c>
      <c r="E204" s="78">
        <f t="shared" si="56"/>
        <v>0</v>
      </c>
      <c r="F204" s="78">
        <f t="shared" si="56"/>
        <v>0</v>
      </c>
      <c r="G204" s="78">
        <f t="shared" si="56"/>
        <v>0</v>
      </c>
      <c r="H204" s="78">
        <f t="shared" si="56"/>
        <v>0</v>
      </c>
      <c r="I204" s="78">
        <f t="shared" si="56"/>
        <v>0</v>
      </c>
      <c r="J204" s="78">
        <f t="shared" si="56"/>
        <v>0</v>
      </c>
      <c r="K204" s="76"/>
      <c r="L204" s="76"/>
      <c r="M204" s="76"/>
      <c r="N204" s="76"/>
      <c r="O204" s="76"/>
      <c r="P204" s="76"/>
      <c r="Q204" s="76"/>
      <c r="R204" s="76"/>
      <c r="S204" s="76"/>
      <c r="T204" s="76"/>
      <c r="U204" s="76"/>
      <c r="V204" s="76"/>
      <c r="W204" s="76"/>
    </row>
    <row r="205" spans="1:23">
      <c r="A205" s="79" t="str">
        <f t="shared" si="55"/>
        <v>Rabi Crop</v>
      </c>
      <c r="B205" s="77"/>
      <c r="C205" s="225"/>
      <c r="D205" s="78">
        <f t="shared" si="56"/>
        <v>0</v>
      </c>
      <c r="E205" s="78">
        <f t="shared" si="56"/>
        <v>0</v>
      </c>
      <c r="F205" s="78">
        <f t="shared" si="56"/>
        <v>0</v>
      </c>
      <c r="G205" s="78">
        <f t="shared" si="56"/>
        <v>0</v>
      </c>
      <c r="H205" s="78">
        <f t="shared" si="56"/>
        <v>0</v>
      </c>
      <c r="I205" s="78">
        <f t="shared" si="56"/>
        <v>0</v>
      </c>
      <c r="J205" s="78">
        <f t="shared" si="56"/>
        <v>0</v>
      </c>
      <c r="K205" s="76"/>
      <c r="L205" s="76"/>
      <c r="M205" s="76"/>
      <c r="N205" s="76"/>
      <c r="O205" s="76"/>
      <c r="P205" s="76"/>
      <c r="Q205" s="76"/>
      <c r="R205" s="76"/>
      <c r="S205" s="76"/>
      <c r="T205" s="76"/>
      <c r="U205" s="76"/>
      <c r="V205" s="76"/>
      <c r="W205" s="76"/>
    </row>
    <row r="206" spans="1:23">
      <c r="A206" s="77" t="str">
        <f t="shared" si="55"/>
        <v>Wheat</v>
      </c>
      <c r="B206" s="77"/>
      <c r="C206" s="225">
        <v>35</v>
      </c>
      <c r="D206" s="78">
        <f t="shared" si="56"/>
        <v>0</v>
      </c>
      <c r="E206" s="78">
        <f t="shared" si="56"/>
        <v>0</v>
      </c>
      <c r="F206" s="78">
        <f t="shared" si="56"/>
        <v>0</v>
      </c>
      <c r="G206" s="78">
        <f t="shared" si="56"/>
        <v>0</v>
      </c>
      <c r="H206" s="78">
        <f t="shared" si="56"/>
        <v>0</v>
      </c>
      <c r="I206" s="78">
        <f t="shared" si="56"/>
        <v>0</v>
      </c>
      <c r="J206" s="78">
        <f t="shared" si="56"/>
        <v>0</v>
      </c>
      <c r="K206" s="76"/>
      <c r="L206" s="76"/>
      <c r="M206" s="76"/>
      <c r="N206" s="76"/>
      <c r="O206" s="76"/>
      <c r="P206" s="76"/>
      <c r="Q206" s="76"/>
      <c r="R206" s="76"/>
      <c r="S206" s="76"/>
      <c r="T206" s="76"/>
      <c r="U206" s="76"/>
      <c r="V206" s="76"/>
      <c r="W206" s="76"/>
    </row>
    <row r="207" spans="1:23">
      <c r="A207" s="77" t="str">
        <f t="shared" si="55"/>
        <v>Bengal Gram/Channa</v>
      </c>
      <c r="B207" s="77"/>
      <c r="C207" s="225">
        <v>70</v>
      </c>
      <c r="D207" s="78">
        <f t="shared" ref="D207:J216" si="57">C72*$C207*D$124</f>
        <v>0</v>
      </c>
      <c r="E207" s="78">
        <f t="shared" si="57"/>
        <v>0</v>
      </c>
      <c r="F207" s="78">
        <f t="shared" si="57"/>
        <v>0</v>
      </c>
      <c r="G207" s="78">
        <f t="shared" si="57"/>
        <v>0</v>
      </c>
      <c r="H207" s="78">
        <f t="shared" si="57"/>
        <v>0</v>
      </c>
      <c r="I207" s="78">
        <f t="shared" si="57"/>
        <v>0</v>
      </c>
      <c r="J207" s="78">
        <f t="shared" si="57"/>
        <v>0</v>
      </c>
      <c r="K207" s="76"/>
      <c r="L207" s="76"/>
      <c r="M207" s="76"/>
      <c r="N207" s="76"/>
      <c r="O207" s="76"/>
      <c r="P207" s="76"/>
      <c r="Q207" s="76"/>
      <c r="R207" s="76"/>
      <c r="S207" s="76"/>
      <c r="T207" s="76"/>
      <c r="U207" s="76"/>
      <c r="V207" s="76"/>
      <c r="W207" s="76"/>
    </row>
    <row r="208" spans="1:23">
      <c r="A208" s="77" t="str">
        <f t="shared" si="55"/>
        <v>Jawar</v>
      </c>
      <c r="B208" s="77"/>
      <c r="C208" s="225">
        <v>25</v>
      </c>
      <c r="D208" s="78">
        <f t="shared" si="57"/>
        <v>0</v>
      </c>
      <c r="E208" s="78">
        <f t="shared" si="57"/>
        <v>0</v>
      </c>
      <c r="F208" s="78">
        <f t="shared" si="57"/>
        <v>0</v>
      </c>
      <c r="G208" s="78">
        <f t="shared" si="57"/>
        <v>0</v>
      </c>
      <c r="H208" s="78">
        <f t="shared" si="57"/>
        <v>0</v>
      </c>
      <c r="I208" s="78">
        <f t="shared" si="57"/>
        <v>0</v>
      </c>
      <c r="J208" s="78">
        <f t="shared" si="57"/>
        <v>0</v>
      </c>
      <c r="K208" s="76"/>
      <c r="L208" s="76"/>
      <c r="M208" s="76"/>
      <c r="N208" s="76"/>
      <c r="O208" s="76"/>
      <c r="P208" s="76"/>
      <c r="Q208" s="76"/>
      <c r="R208" s="76"/>
      <c r="S208" s="76"/>
      <c r="T208" s="76"/>
      <c r="U208" s="76"/>
      <c r="V208" s="76"/>
      <c r="W208" s="76"/>
    </row>
    <row r="209" spans="1:23">
      <c r="A209" s="77" t="str">
        <f t="shared" si="55"/>
        <v>Maize</v>
      </c>
      <c r="B209" s="77"/>
      <c r="C209" s="225">
        <v>25</v>
      </c>
      <c r="D209" s="78">
        <f t="shared" si="57"/>
        <v>0</v>
      </c>
      <c r="E209" s="78">
        <f t="shared" si="57"/>
        <v>0</v>
      </c>
      <c r="F209" s="78">
        <f t="shared" si="57"/>
        <v>0</v>
      </c>
      <c r="G209" s="78">
        <f t="shared" si="57"/>
        <v>0</v>
      </c>
      <c r="H209" s="78">
        <f t="shared" si="57"/>
        <v>0</v>
      </c>
      <c r="I209" s="78">
        <f t="shared" si="57"/>
        <v>0</v>
      </c>
      <c r="J209" s="78">
        <f t="shared" si="57"/>
        <v>0</v>
      </c>
      <c r="K209" s="76"/>
      <c r="L209" s="76"/>
      <c r="M209" s="76"/>
      <c r="N209" s="76"/>
      <c r="O209" s="76"/>
      <c r="P209" s="76"/>
      <c r="Q209" s="76"/>
      <c r="R209" s="76"/>
      <c r="S209" s="76"/>
      <c r="T209" s="76"/>
      <c r="U209" s="76"/>
      <c r="V209" s="76"/>
      <c r="W209" s="76"/>
    </row>
    <row r="210" spans="1:23">
      <c r="A210" s="77" t="str">
        <f t="shared" si="55"/>
        <v>Safflower</v>
      </c>
      <c r="B210" s="77"/>
      <c r="C210" s="225">
        <v>25</v>
      </c>
      <c r="D210" s="78">
        <f t="shared" si="57"/>
        <v>0</v>
      </c>
      <c r="E210" s="78">
        <f t="shared" si="57"/>
        <v>0</v>
      </c>
      <c r="F210" s="78">
        <f t="shared" si="57"/>
        <v>0</v>
      </c>
      <c r="G210" s="78">
        <f t="shared" si="57"/>
        <v>0</v>
      </c>
      <c r="H210" s="78">
        <f t="shared" si="57"/>
        <v>0</v>
      </c>
      <c r="I210" s="78">
        <f t="shared" si="57"/>
        <v>0</v>
      </c>
      <c r="J210" s="78">
        <f t="shared" si="57"/>
        <v>0</v>
      </c>
      <c r="K210" s="76"/>
      <c r="L210" s="76"/>
      <c r="M210" s="76"/>
      <c r="N210" s="76"/>
      <c r="O210" s="76"/>
      <c r="P210" s="76"/>
      <c r="Q210" s="76"/>
      <c r="R210" s="76"/>
      <c r="S210" s="76"/>
      <c r="T210" s="76"/>
      <c r="U210" s="76"/>
      <c r="V210" s="76"/>
      <c r="W210" s="76"/>
    </row>
    <row r="211" spans="1:23">
      <c r="A211" s="77">
        <f t="shared" si="55"/>
        <v>0</v>
      </c>
      <c r="B211" s="77"/>
      <c r="C211" s="225"/>
      <c r="D211" s="78">
        <f t="shared" si="57"/>
        <v>0</v>
      </c>
      <c r="E211" s="78">
        <f t="shared" si="57"/>
        <v>0</v>
      </c>
      <c r="F211" s="78">
        <f t="shared" si="57"/>
        <v>0</v>
      </c>
      <c r="G211" s="78">
        <f t="shared" si="57"/>
        <v>0</v>
      </c>
      <c r="H211" s="78">
        <f t="shared" si="57"/>
        <v>0</v>
      </c>
      <c r="I211" s="78">
        <f t="shared" si="57"/>
        <v>0</v>
      </c>
      <c r="J211" s="78">
        <f t="shared" si="57"/>
        <v>0</v>
      </c>
      <c r="K211" s="76"/>
      <c r="L211" s="76"/>
      <c r="M211" s="76"/>
      <c r="N211" s="76"/>
      <c r="O211" s="76"/>
      <c r="P211" s="76"/>
      <c r="Q211" s="76"/>
      <c r="R211" s="76"/>
      <c r="S211" s="76"/>
      <c r="T211" s="76"/>
      <c r="U211" s="76"/>
      <c r="V211" s="76"/>
      <c r="W211" s="76"/>
    </row>
    <row r="212" spans="1:23">
      <c r="A212" s="77">
        <f t="shared" si="55"/>
        <v>0</v>
      </c>
      <c r="B212" s="77"/>
      <c r="C212" s="225"/>
      <c r="D212" s="78">
        <f t="shared" si="57"/>
        <v>0</v>
      </c>
      <c r="E212" s="78">
        <f t="shared" si="57"/>
        <v>0</v>
      </c>
      <c r="F212" s="78">
        <f t="shared" si="57"/>
        <v>0</v>
      </c>
      <c r="G212" s="78">
        <f t="shared" si="57"/>
        <v>0</v>
      </c>
      <c r="H212" s="78">
        <f t="shared" si="57"/>
        <v>0</v>
      </c>
      <c r="I212" s="78">
        <f t="shared" si="57"/>
        <v>0</v>
      </c>
      <c r="J212" s="78">
        <f t="shared" si="57"/>
        <v>0</v>
      </c>
      <c r="K212" s="76"/>
      <c r="L212" s="76"/>
      <c r="M212" s="76"/>
      <c r="N212" s="76"/>
      <c r="O212" s="76"/>
      <c r="P212" s="76"/>
      <c r="Q212" s="76"/>
      <c r="R212" s="76"/>
      <c r="S212" s="76"/>
      <c r="T212" s="76"/>
      <c r="U212" s="76"/>
      <c r="V212" s="76"/>
      <c r="W212" s="76"/>
    </row>
    <row r="213" spans="1:23">
      <c r="A213" s="77">
        <f t="shared" si="55"/>
        <v>0</v>
      </c>
      <c r="B213" s="77"/>
      <c r="C213" s="225"/>
      <c r="D213" s="78">
        <f t="shared" si="57"/>
        <v>0</v>
      </c>
      <c r="E213" s="78">
        <f t="shared" si="57"/>
        <v>0</v>
      </c>
      <c r="F213" s="78">
        <f t="shared" si="57"/>
        <v>0</v>
      </c>
      <c r="G213" s="78">
        <f t="shared" si="57"/>
        <v>0</v>
      </c>
      <c r="H213" s="78">
        <f t="shared" si="57"/>
        <v>0</v>
      </c>
      <c r="I213" s="78">
        <f t="shared" si="57"/>
        <v>0</v>
      </c>
      <c r="J213" s="78">
        <f t="shared" si="57"/>
        <v>0</v>
      </c>
      <c r="K213" s="76"/>
      <c r="L213" s="76"/>
      <c r="M213" s="76"/>
      <c r="N213" s="76"/>
      <c r="O213" s="76"/>
      <c r="P213" s="76"/>
      <c r="Q213" s="76"/>
      <c r="R213" s="76"/>
      <c r="S213" s="76"/>
      <c r="T213" s="76"/>
      <c r="U213" s="76"/>
      <c r="V213" s="76"/>
      <c r="W213" s="76"/>
    </row>
    <row r="214" spans="1:23">
      <c r="A214" s="77" t="str">
        <f t="shared" si="55"/>
        <v>Summer</v>
      </c>
      <c r="B214" s="77"/>
      <c r="C214" s="225"/>
      <c r="D214" s="78">
        <f t="shared" si="57"/>
        <v>0</v>
      </c>
      <c r="E214" s="78">
        <f t="shared" si="57"/>
        <v>0</v>
      </c>
      <c r="F214" s="78">
        <f t="shared" si="57"/>
        <v>0</v>
      </c>
      <c r="G214" s="78">
        <f t="shared" si="57"/>
        <v>0</v>
      </c>
      <c r="H214" s="78">
        <f t="shared" si="57"/>
        <v>0</v>
      </c>
      <c r="I214" s="78">
        <f t="shared" si="57"/>
        <v>0</v>
      </c>
      <c r="J214" s="78">
        <f t="shared" si="57"/>
        <v>0</v>
      </c>
      <c r="K214" s="76"/>
      <c r="L214" s="76"/>
      <c r="M214" s="76"/>
      <c r="N214" s="76"/>
      <c r="O214" s="76"/>
      <c r="P214" s="76"/>
      <c r="Q214" s="76"/>
      <c r="R214" s="76"/>
      <c r="S214" s="76"/>
      <c r="T214" s="76"/>
      <c r="U214" s="76"/>
      <c r="V214" s="76"/>
      <c r="W214" s="76"/>
    </row>
    <row r="215" spans="1:23">
      <c r="A215" s="77" t="str">
        <f t="shared" si="55"/>
        <v>Groundnut</v>
      </c>
      <c r="B215" s="77"/>
      <c r="C215" s="225"/>
      <c r="D215" s="78">
        <f t="shared" si="57"/>
        <v>0</v>
      </c>
      <c r="E215" s="78">
        <f t="shared" si="57"/>
        <v>0</v>
      </c>
      <c r="F215" s="78">
        <f t="shared" si="57"/>
        <v>0</v>
      </c>
      <c r="G215" s="78">
        <f t="shared" si="57"/>
        <v>0</v>
      </c>
      <c r="H215" s="78">
        <f t="shared" si="57"/>
        <v>0</v>
      </c>
      <c r="I215" s="78">
        <f t="shared" si="57"/>
        <v>0</v>
      </c>
      <c r="J215" s="78">
        <f t="shared" si="57"/>
        <v>0</v>
      </c>
      <c r="K215" s="76"/>
      <c r="L215" s="76"/>
      <c r="M215" s="76"/>
      <c r="N215" s="76"/>
      <c r="O215" s="76"/>
      <c r="P215" s="76"/>
      <c r="Q215" s="76"/>
      <c r="R215" s="76"/>
      <c r="S215" s="76"/>
      <c r="T215" s="76"/>
      <c r="U215" s="76"/>
      <c r="V215" s="76"/>
      <c r="W215" s="76"/>
    </row>
    <row r="216" spans="1:23">
      <c r="A216" s="77">
        <f t="shared" si="55"/>
        <v>0</v>
      </c>
      <c r="B216" s="77"/>
      <c r="C216" s="225"/>
      <c r="D216" s="78">
        <f t="shared" si="57"/>
        <v>0</v>
      </c>
      <c r="E216" s="78">
        <f t="shared" si="57"/>
        <v>0</v>
      </c>
      <c r="F216" s="78">
        <f t="shared" si="57"/>
        <v>0</v>
      </c>
      <c r="G216" s="78">
        <f t="shared" si="57"/>
        <v>0</v>
      </c>
      <c r="H216" s="78">
        <f t="shared" si="57"/>
        <v>0</v>
      </c>
      <c r="I216" s="78">
        <f t="shared" si="57"/>
        <v>0</v>
      </c>
      <c r="J216" s="78">
        <f t="shared" si="57"/>
        <v>0</v>
      </c>
      <c r="K216" s="76"/>
      <c r="L216" s="76"/>
      <c r="M216" s="76"/>
      <c r="N216" s="76"/>
      <c r="O216" s="76"/>
      <c r="P216" s="76"/>
      <c r="Q216" s="76"/>
      <c r="R216" s="76"/>
      <c r="S216" s="76"/>
      <c r="T216" s="76"/>
      <c r="U216" s="76"/>
      <c r="V216" s="76"/>
      <c r="W216" s="76"/>
    </row>
    <row r="217" spans="1:23">
      <c r="A217" s="77">
        <f t="shared" si="55"/>
        <v>0</v>
      </c>
      <c r="B217" s="77"/>
      <c r="C217" s="225"/>
      <c r="D217" s="78">
        <f t="shared" ref="D217:J219" si="58">C82*$C217*D$124</f>
        <v>0</v>
      </c>
      <c r="E217" s="78">
        <f t="shared" si="58"/>
        <v>0</v>
      </c>
      <c r="F217" s="78">
        <f t="shared" si="58"/>
        <v>0</v>
      </c>
      <c r="G217" s="78">
        <f t="shared" si="58"/>
        <v>0</v>
      </c>
      <c r="H217" s="78">
        <f t="shared" si="58"/>
        <v>0</v>
      </c>
      <c r="I217" s="78">
        <f t="shared" si="58"/>
        <v>0</v>
      </c>
      <c r="J217" s="78">
        <f t="shared" si="58"/>
        <v>0</v>
      </c>
      <c r="K217" s="76"/>
      <c r="L217" s="76"/>
      <c r="M217" s="76"/>
      <c r="N217" s="76"/>
      <c r="O217" s="76"/>
      <c r="P217" s="76"/>
      <c r="Q217" s="76"/>
      <c r="R217" s="76"/>
      <c r="S217" s="76"/>
      <c r="T217" s="76"/>
      <c r="U217" s="76"/>
      <c r="V217" s="76"/>
      <c r="W217" s="76"/>
    </row>
    <row r="218" spans="1:23">
      <c r="A218" s="77">
        <f t="shared" si="55"/>
        <v>0</v>
      </c>
      <c r="B218" s="77"/>
      <c r="C218" s="225"/>
      <c r="D218" s="78">
        <f t="shared" si="58"/>
        <v>0</v>
      </c>
      <c r="E218" s="78">
        <f t="shared" si="58"/>
        <v>0</v>
      </c>
      <c r="F218" s="78">
        <f t="shared" si="58"/>
        <v>0</v>
      </c>
      <c r="G218" s="78">
        <f t="shared" si="58"/>
        <v>0</v>
      </c>
      <c r="H218" s="78">
        <f t="shared" si="58"/>
        <v>0</v>
      </c>
      <c r="I218" s="78">
        <f t="shared" si="58"/>
        <v>0</v>
      </c>
      <c r="J218" s="78">
        <f t="shared" si="58"/>
        <v>0</v>
      </c>
      <c r="K218" s="76"/>
      <c r="L218" s="76"/>
      <c r="M218" s="76"/>
      <c r="N218" s="76"/>
      <c r="O218" s="76"/>
      <c r="P218" s="76"/>
      <c r="Q218" s="76"/>
      <c r="R218" s="76"/>
      <c r="S218" s="76"/>
      <c r="T218" s="76"/>
      <c r="U218" s="76"/>
      <c r="V218" s="76"/>
      <c r="W218" s="76"/>
    </row>
    <row r="219" spans="1:23">
      <c r="A219" s="77">
        <f t="shared" si="55"/>
        <v>0</v>
      </c>
      <c r="B219" s="77"/>
      <c r="C219" s="225"/>
      <c r="D219" s="78">
        <f t="shared" si="58"/>
        <v>0</v>
      </c>
      <c r="E219" s="78">
        <f t="shared" si="58"/>
        <v>0</v>
      </c>
      <c r="F219" s="78">
        <f t="shared" si="58"/>
        <v>0</v>
      </c>
      <c r="G219" s="78">
        <f t="shared" si="58"/>
        <v>0</v>
      </c>
      <c r="H219" s="78">
        <f t="shared" si="58"/>
        <v>0</v>
      </c>
      <c r="I219" s="78">
        <f t="shared" si="58"/>
        <v>0</v>
      </c>
      <c r="J219" s="78">
        <f t="shared" si="58"/>
        <v>0</v>
      </c>
      <c r="K219" s="76"/>
      <c r="L219" s="76"/>
      <c r="M219" s="76"/>
      <c r="N219" s="76"/>
      <c r="O219" s="76"/>
      <c r="P219" s="76"/>
      <c r="Q219" s="76"/>
      <c r="R219" s="76"/>
      <c r="S219" s="76"/>
      <c r="T219" s="76"/>
      <c r="U219" s="76"/>
      <c r="V219" s="76"/>
      <c r="W219" s="76"/>
    </row>
    <row r="220" spans="1:23">
      <c r="A220" s="77" t="str">
        <f t="shared" si="55"/>
        <v>Fruit  &amp; Vegetables Crop Production Details</v>
      </c>
      <c r="B220" s="77"/>
      <c r="C220" s="78"/>
      <c r="D220" s="78"/>
      <c r="E220" s="78"/>
      <c r="F220" s="78"/>
      <c r="G220" s="78"/>
      <c r="H220" s="78"/>
      <c r="I220" s="78"/>
      <c r="J220" s="78"/>
      <c r="K220" s="76"/>
      <c r="L220" s="76"/>
      <c r="M220" s="76"/>
      <c r="N220" s="76"/>
      <c r="O220" s="76"/>
      <c r="P220" s="76"/>
      <c r="Q220" s="76"/>
      <c r="R220" s="76"/>
      <c r="S220" s="76"/>
      <c r="T220" s="76"/>
      <c r="U220" s="76"/>
      <c r="V220" s="76"/>
      <c r="W220" s="76"/>
    </row>
    <row r="221" spans="1:23">
      <c r="A221" s="77" t="str">
        <f t="shared" si="55"/>
        <v>Onion</v>
      </c>
      <c r="B221" s="77"/>
      <c r="C221" s="225"/>
      <c r="D221" s="78">
        <f t="shared" ref="D221:J230" si="59">C86*$C221*D$124</f>
        <v>0</v>
      </c>
      <c r="E221" s="78">
        <f t="shared" si="59"/>
        <v>0</v>
      </c>
      <c r="F221" s="78">
        <f t="shared" si="59"/>
        <v>0</v>
      </c>
      <c r="G221" s="78">
        <f t="shared" si="59"/>
        <v>0</v>
      </c>
      <c r="H221" s="78">
        <f t="shared" si="59"/>
        <v>0</v>
      </c>
      <c r="I221" s="78">
        <f t="shared" si="59"/>
        <v>0</v>
      </c>
      <c r="J221" s="78">
        <f t="shared" si="59"/>
        <v>0</v>
      </c>
      <c r="K221" s="76"/>
      <c r="L221" s="76"/>
      <c r="M221" s="76"/>
      <c r="N221" s="76"/>
      <c r="O221" s="76"/>
      <c r="P221" s="76"/>
      <c r="Q221" s="76"/>
      <c r="R221" s="76"/>
      <c r="S221" s="76"/>
      <c r="T221" s="76"/>
      <c r="U221" s="76"/>
      <c r="V221" s="76"/>
      <c r="W221" s="76"/>
    </row>
    <row r="222" spans="1:23">
      <c r="A222" s="77" t="str">
        <f t="shared" si="55"/>
        <v>Tomato</v>
      </c>
      <c r="B222" s="77"/>
      <c r="C222" s="225"/>
      <c r="D222" s="78">
        <f t="shared" si="59"/>
        <v>0</v>
      </c>
      <c r="E222" s="78">
        <f t="shared" si="59"/>
        <v>0</v>
      </c>
      <c r="F222" s="78">
        <f t="shared" si="59"/>
        <v>0</v>
      </c>
      <c r="G222" s="78">
        <f t="shared" si="59"/>
        <v>0</v>
      </c>
      <c r="H222" s="78">
        <f t="shared" si="59"/>
        <v>0</v>
      </c>
      <c r="I222" s="78">
        <f t="shared" si="59"/>
        <v>0</v>
      </c>
      <c r="J222" s="78">
        <f t="shared" si="59"/>
        <v>0</v>
      </c>
      <c r="K222" s="76"/>
      <c r="L222" s="76"/>
      <c r="M222" s="76"/>
      <c r="N222" s="76"/>
      <c r="O222" s="76"/>
      <c r="P222" s="76"/>
      <c r="Q222" s="76"/>
      <c r="R222" s="76"/>
      <c r="S222" s="76"/>
      <c r="T222" s="76"/>
      <c r="U222" s="76"/>
      <c r="V222" s="76"/>
      <c r="W222" s="76"/>
    </row>
    <row r="223" spans="1:23">
      <c r="A223" s="77" t="str">
        <f t="shared" si="55"/>
        <v>Okra</v>
      </c>
      <c r="B223" s="77"/>
      <c r="C223" s="225"/>
      <c r="D223" s="78">
        <f t="shared" si="59"/>
        <v>0</v>
      </c>
      <c r="E223" s="78">
        <f t="shared" si="59"/>
        <v>0</v>
      </c>
      <c r="F223" s="78">
        <f t="shared" si="59"/>
        <v>0</v>
      </c>
      <c r="G223" s="78">
        <f t="shared" si="59"/>
        <v>0</v>
      </c>
      <c r="H223" s="78">
        <f t="shared" si="59"/>
        <v>0</v>
      </c>
      <c r="I223" s="78">
        <f t="shared" si="59"/>
        <v>0</v>
      </c>
      <c r="J223" s="78">
        <f t="shared" si="59"/>
        <v>0</v>
      </c>
      <c r="K223" s="76"/>
      <c r="L223" s="76"/>
      <c r="M223" s="76"/>
      <c r="N223" s="76"/>
      <c r="O223" s="76"/>
      <c r="P223" s="76"/>
      <c r="Q223" s="76"/>
      <c r="R223" s="76"/>
      <c r="S223" s="76"/>
      <c r="T223" s="76"/>
      <c r="U223" s="76"/>
      <c r="V223" s="76"/>
      <c r="W223" s="76"/>
    </row>
    <row r="224" spans="1:23">
      <c r="A224" s="77" t="str">
        <f t="shared" si="55"/>
        <v>Chilli</v>
      </c>
      <c r="B224" s="77"/>
      <c r="C224" s="225"/>
      <c r="D224" s="78">
        <f t="shared" si="59"/>
        <v>0</v>
      </c>
      <c r="E224" s="78">
        <f t="shared" si="59"/>
        <v>0</v>
      </c>
      <c r="F224" s="78">
        <f t="shared" si="59"/>
        <v>0</v>
      </c>
      <c r="G224" s="78">
        <f t="shared" si="59"/>
        <v>0</v>
      </c>
      <c r="H224" s="78">
        <f t="shared" si="59"/>
        <v>0</v>
      </c>
      <c r="I224" s="78">
        <f t="shared" si="59"/>
        <v>0</v>
      </c>
      <c r="J224" s="78">
        <f t="shared" si="59"/>
        <v>0</v>
      </c>
      <c r="K224" s="76"/>
      <c r="L224" s="76"/>
      <c r="M224" s="76"/>
      <c r="N224" s="76"/>
      <c r="O224" s="76"/>
      <c r="P224" s="76"/>
      <c r="Q224" s="76"/>
      <c r="R224" s="76"/>
      <c r="S224" s="76"/>
      <c r="T224" s="76"/>
      <c r="U224" s="76"/>
      <c r="V224" s="76"/>
      <c r="W224" s="76"/>
    </row>
    <row r="225" spans="1:23">
      <c r="A225" s="77" t="str">
        <f t="shared" si="55"/>
        <v>Potato</v>
      </c>
      <c r="B225" s="77"/>
      <c r="C225" s="225"/>
      <c r="D225" s="78">
        <f t="shared" si="59"/>
        <v>0</v>
      </c>
      <c r="E225" s="78">
        <f t="shared" si="59"/>
        <v>0</v>
      </c>
      <c r="F225" s="78">
        <f t="shared" si="59"/>
        <v>0</v>
      </c>
      <c r="G225" s="78">
        <f t="shared" si="59"/>
        <v>0</v>
      </c>
      <c r="H225" s="78">
        <f t="shared" si="59"/>
        <v>0</v>
      </c>
      <c r="I225" s="78">
        <f t="shared" si="59"/>
        <v>0</v>
      </c>
      <c r="J225" s="78">
        <f t="shared" si="59"/>
        <v>0</v>
      </c>
      <c r="K225" s="76"/>
      <c r="L225" s="76"/>
      <c r="M225" s="76"/>
      <c r="N225" s="76"/>
      <c r="O225" s="76"/>
      <c r="P225" s="76"/>
      <c r="Q225" s="76"/>
      <c r="R225" s="76"/>
      <c r="S225" s="76"/>
      <c r="T225" s="76"/>
      <c r="U225" s="76"/>
      <c r="V225" s="76"/>
      <c r="W225" s="76"/>
    </row>
    <row r="226" spans="1:23">
      <c r="A226" s="77">
        <f t="shared" si="55"/>
        <v>0</v>
      </c>
      <c r="B226" s="77"/>
      <c r="C226" s="225"/>
      <c r="D226" s="78">
        <f t="shared" si="59"/>
        <v>0</v>
      </c>
      <c r="E226" s="78">
        <f t="shared" si="59"/>
        <v>0</v>
      </c>
      <c r="F226" s="78">
        <f t="shared" si="59"/>
        <v>0</v>
      </c>
      <c r="G226" s="78">
        <f t="shared" si="59"/>
        <v>0</v>
      </c>
      <c r="H226" s="78">
        <f t="shared" si="59"/>
        <v>0</v>
      </c>
      <c r="I226" s="78">
        <f t="shared" si="59"/>
        <v>0</v>
      </c>
      <c r="J226" s="78">
        <f t="shared" si="59"/>
        <v>0</v>
      </c>
      <c r="K226" s="76"/>
      <c r="L226" s="76"/>
      <c r="M226" s="76"/>
      <c r="N226" s="76"/>
      <c r="O226" s="76"/>
      <c r="P226" s="76"/>
      <c r="Q226" s="76"/>
      <c r="R226" s="76"/>
      <c r="S226" s="76"/>
      <c r="T226" s="76"/>
      <c r="U226" s="76"/>
      <c r="V226" s="76"/>
      <c r="W226" s="76"/>
    </row>
    <row r="227" spans="1:23">
      <c r="A227" s="77">
        <f t="shared" si="55"/>
        <v>0</v>
      </c>
      <c r="B227" s="77"/>
      <c r="C227" s="225"/>
      <c r="D227" s="78">
        <f t="shared" si="59"/>
        <v>0</v>
      </c>
      <c r="E227" s="78">
        <f t="shared" si="59"/>
        <v>0</v>
      </c>
      <c r="F227" s="78">
        <f t="shared" si="59"/>
        <v>0</v>
      </c>
      <c r="G227" s="78">
        <f t="shared" si="59"/>
        <v>0</v>
      </c>
      <c r="H227" s="78">
        <f t="shared" si="59"/>
        <v>0</v>
      </c>
      <c r="I227" s="78">
        <f t="shared" si="59"/>
        <v>0</v>
      </c>
      <c r="J227" s="78">
        <f t="shared" si="59"/>
        <v>0</v>
      </c>
      <c r="K227" s="76"/>
      <c r="L227" s="76"/>
      <c r="M227" s="76"/>
      <c r="N227" s="76"/>
      <c r="O227" s="76"/>
      <c r="P227" s="76"/>
      <c r="Q227" s="76"/>
      <c r="R227" s="76"/>
      <c r="S227" s="76"/>
      <c r="T227" s="76"/>
      <c r="U227" s="76"/>
      <c r="V227" s="76"/>
      <c r="W227" s="76"/>
    </row>
    <row r="228" spans="1:23">
      <c r="A228" s="77">
        <f t="shared" si="55"/>
        <v>0</v>
      </c>
      <c r="B228" s="77"/>
      <c r="C228" s="225"/>
      <c r="D228" s="78">
        <f t="shared" si="59"/>
        <v>0</v>
      </c>
      <c r="E228" s="78">
        <f t="shared" si="59"/>
        <v>0</v>
      </c>
      <c r="F228" s="78">
        <f t="shared" si="59"/>
        <v>0</v>
      </c>
      <c r="G228" s="78">
        <f t="shared" si="59"/>
        <v>0</v>
      </c>
      <c r="H228" s="78">
        <f t="shared" si="59"/>
        <v>0</v>
      </c>
      <c r="I228" s="78">
        <f t="shared" si="59"/>
        <v>0</v>
      </c>
      <c r="J228" s="78">
        <f t="shared" si="59"/>
        <v>0</v>
      </c>
      <c r="K228" s="76"/>
      <c r="L228" s="76"/>
      <c r="M228" s="76"/>
      <c r="N228" s="76"/>
      <c r="O228" s="76"/>
      <c r="P228" s="76"/>
      <c r="Q228" s="76"/>
      <c r="R228" s="76"/>
      <c r="S228" s="76"/>
      <c r="T228" s="76"/>
      <c r="U228" s="76"/>
      <c r="V228" s="76"/>
      <c r="W228" s="76"/>
    </row>
    <row r="229" spans="1:23">
      <c r="A229" s="77">
        <f t="shared" si="55"/>
        <v>0</v>
      </c>
      <c r="B229" s="77"/>
      <c r="C229" s="225"/>
      <c r="D229" s="78">
        <f t="shared" si="59"/>
        <v>0</v>
      </c>
      <c r="E229" s="78">
        <f t="shared" si="59"/>
        <v>0</v>
      </c>
      <c r="F229" s="78">
        <f t="shared" si="59"/>
        <v>0</v>
      </c>
      <c r="G229" s="78">
        <f t="shared" si="59"/>
        <v>0</v>
      </c>
      <c r="H229" s="78">
        <f t="shared" si="59"/>
        <v>0</v>
      </c>
      <c r="I229" s="78">
        <f t="shared" si="59"/>
        <v>0</v>
      </c>
      <c r="J229" s="78">
        <f t="shared" si="59"/>
        <v>0</v>
      </c>
      <c r="K229" s="76"/>
      <c r="L229" s="76"/>
      <c r="M229" s="76"/>
      <c r="N229" s="76"/>
      <c r="O229" s="76"/>
      <c r="P229" s="76"/>
      <c r="Q229" s="76"/>
      <c r="R229" s="76"/>
      <c r="S229" s="76"/>
      <c r="T229" s="76"/>
      <c r="U229" s="76"/>
      <c r="V229" s="76"/>
      <c r="W229" s="76"/>
    </row>
    <row r="230" spans="1:23">
      <c r="A230" s="77" t="str">
        <f t="shared" si="55"/>
        <v>Onion</v>
      </c>
      <c r="B230" s="77"/>
      <c r="C230" s="225"/>
      <c r="D230" s="78">
        <f t="shared" si="59"/>
        <v>0</v>
      </c>
      <c r="E230" s="78">
        <f t="shared" si="59"/>
        <v>0</v>
      </c>
      <c r="F230" s="78">
        <f t="shared" si="59"/>
        <v>0</v>
      </c>
      <c r="G230" s="78">
        <f t="shared" si="59"/>
        <v>0</v>
      </c>
      <c r="H230" s="78">
        <f t="shared" si="59"/>
        <v>0</v>
      </c>
      <c r="I230" s="78">
        <f t="shared" si="59"/>
        <v>0</v>
      </c>
      <c r="J230" s="78">
        <f t="shared" si="59"/>
        <v>0</v>
      </c>
      <c r="K230" s="76"/>
      <c r="L230" s="76"/>
      <c r="M230" s="76"/>
      <c r="N230" s="76"/>
      <c r="O230" s="76"/>
      <c r="P230" s="76"/>
      <c r="Q230" s="76"/>
      <c r="R230" s="76"/>
      <c r="S230" s="76"/>
      <c r="T230" s="76"/>
      <c r="U230" s="76"/>
      <c r="V230" s="76"/>
      <c r="W230" s="76"/>
    </row>
    <row r="231" spans="1:23">
      <c r="A231" s="77" t="str">
        <f t="shared" si="55"/>
        <v>Tomato</v>
      </c>
      <c r="B231" s="77"/>
      <c r="C231" s="225"/>
      <c r="D231" s="78">
        <f t="shared" ref="D231:J238" si="60">C96*$C231*D$124</f>
        <v>0</v>
      </c>
      <c r="E231" s="78">
        <f t="shared" si="60"/>
        <v>0</v>
      </c>
      <c r="F231" s="78">
        <f t="shared" si="60"/>
        <v>0</v>
      </c>
      <c r="G231" s="78">
        <f t="shared" si="60"/>
        <v>0</v>
      </c>
      <c r="H231" s="78">
        <f t="shared" si="60"/>
        <v>0</v>
      </c>
      <c r="I231" s="78">
        <f t="shared" si="60"/>
        <v>0</v>
      </c>
      <c r="J231" s="78">
        <f t="shared" si="60"/>
        <v>0</v>
      </c>
      <c r="K231" s="76"/>
      <c r="L231" s="76"/>
      <c r="M231" s="76"/>
      <c r="N231" s="76"/>
      <c r="O231" s="76"/>
      <c r="P231" s="76"/>
      <c r="Q231" s="76"/>
      <c r="R231" s="76"/>
      <c r="S231" s="76"/>
      <c r="T231" s="76"/>
      <c r="U231" s="76"/>
      <c r="V231" s="76"/>
      <c r="W231" s="76"/>
    </row>
    <row r="232" spans="1:23">
      <c r="A232" s="77" t="str">
        <f t="shared" si="55"/>
        <v>Okra</v>
      </c>
      <c r="B232" s="77"/>
      <c r="C232" s="225"/>
      <c r="D232" s="78">
        <f t="shared" si="60"/>
        <v>0</v>
      </c>
      <c r="E232" s="78">
        <f t="shared" si="60"/>
        <v>0</v>
      </c>
      <c r="F232" s="78">
        <f t="shared" si="60"/>
        <v>0</v>
      </c>
      <c r="G232" s="78">
        <f t="shared" si="60"/>
        <v>0</v>
      </c>
      <c r="H232" s="78">
        <f t="shared" si="60"/>
        <v>0</v>
      </c>
      <c r="I232" s="78">
        <f t="shared" si="60"/>
        <v>0</v>
      </c>
      <c r="J232" s="78">
        <f t="shared" si="60"/>
        <v>0</v>
      </c>
      <c r="K232" s="76"/>
      <c r="L232" s="76"/>
      <c r="M232" s="76"/>
      <c r="N232" s="76"/>
      <c r="O232" s="76"/>
      <c r="P232" s="76"/>
      <c r="Q232" s="76"/>
      <c r="R232" s="76"/>
      <c r="S232" s="76"/>
      <c r="T232" s="76"/>
      <c r="U232" s="76"/>
      <c r="V232" s="76"/>
      <c r="W232" s="76"/>
    </row>
    <row r="233" spans="1:23">
      <c r="A233" s="77" t="str">
        <f t="shared" si="55"/>
        <v>Chilli</v>
      </c>
      <c r="B233" s="77"/>
      <c r="C233" s="225"/>
      <c r="D233" s="78">
        <f t="shared" si="60"/>
        <v>0</v>
      </c>
      <c r="E233" s="78">
        <f t="shared" si="60"/>
        <v>0</v>
      </c>
      <c r="F233" s="78">
        <f t="shared" si="60"/>
        <v>0</v>
      </c>
      <c r="G233" s="78">
        <f t="shared" si="60"/>
        <v>0</v>
      </c>
      <c r="H233" s="78">
        <f t="shared" si="60"/>
        <v>0</v>
      </c>
      <c r="I233" s="78">
        <f t="shared" si="60"/>
        <v>0</v>
      </c>
      <c r="J233" s="78">
        <f t="shared" si="60"/>
        <v>0</v>
      </c>
      <c r="K233" s="76"/>
      <c r="L233" s="76"/>
      <c r="M233" s="76"/>
      <c r="N233" s="76"/>
      <c r="O233" s="76"/>
      <c r="P233" s="76"/>
      <c r="Q233" s="76"/>
      <c r="R233" s="76"/>
      <c r="S233" s="76"/>
      <c r="T233" s="76"/>
      <c r="U233" s="76"/>
      <c r="V233" s="76"/>
      <c r="W233" s="76"/>
    </row>
    <row r="234" spans="1:23">
      <c r="A234" s="77" t="str">
        <f t="shared" si="55"/>
        <v>Brinjal</v>
      </c>
      <c r="B234" s="77"/>
      <c r="C234" s="225"/>
      <c r="D234" s="78">
        <f t="shared" si="60"/>
        <v>0</v>
      </c>
      <c r="E234" s="78">
        <f t="shared" si="60"/>
        <v>0</v>
      </c>
      <c r="F234" s="78">
        <f t="shared" si="60"/>
        <v>0</v>
      </c>
      <c r="G234" s="78">
        <f t="shared" si="60"/>
        <v>0</v>
      </c>
      <c r="H234" s="78">
        <f t="shared" si="60"/>
        <v>0</v>
      </c>
      <c r="I234" s="78">
        <f t="shared" si="60"/>
        <v>0</v>
      </c>
      <c r="J234" s="78">
        <f t="shared" si="60"/>
        <v>0</v>
      </c>
      <c r="K234" s="76"/>
      <c r="L234" s="76"/>
      <c r="M234" s="76"/>
      <c r="N234" s="76"/>
      <c r="O234" s="76"/>
      <c r="P234" s="76"/>
      <c r="Q234" s="76"/>
      <c r="R234" s="76"/>
      <c r="S234" s="76"/>
      <c r="T234" s="76"/>
      <c r="U234" s="76"/>
      <c r="V234" s="76"/>
      <c r="W234" s="76"/>
    </row>
    <row r="235" spans="1:23">
      <c r="A235" s="77">
        <f t="shared" si="55"/>
        <v>0</v>
      </c>
      <c r="B235" s="77"/>
      <c r="C235" s="225"/>
      <c r="D235" s="78">
        <f t="shared" si="60"/>
        <v>0</v>
      </c>
      <c r="E235" s="78">
        <f t="shared" si="60"/>
        <v>0</v>
      </c>
      <c r="F235" s="78">
        <f t="shared" si="60"/>
        <v>0</v>
      </c>
      <c r="G235" s="78">
        <f t="shared" si="60"/>
        <v>0</v>
      </c>
      <c r="H235" s="78">
        <f t="shared" si="60"/>
        <v>0</v>
      </c>
      <c r="I235" s="78">
        <f t="shared" si="60"/>
        <v>0</v>
      </c>
      <c r="J235" s="78">
        <f t="shared" si="60"/>
        <v>0</v>
      </c>
      <c r="K235" s="76"/>
      <c r="L235" s="76"/>
      <c r="M235" s="76"/>
      <c r="N235" s="76"/>
      <c r="O235" s="76"/>
      <c r="P235" s="76"/>
      <c r="Q235" s="76"/>
      <c r="R235" s="76"/>
      <c r="S235" s="76"/>
      <c r="T235" s="76"/>
      <c r="U235" s="76"/>
      <c r="V235" s="76"/>
      <c r="W235" s="76"/>
    </row>
    <row r="236" spans="1:23">
      <c r="A236" s="77">
        <f t="shared" si="55"/>
        <v>0</v>
      </c>
      <c r="B236" s="77"/>
      <c r="C236" s="225"/>
      <c r="D236" s="78">
        <f t="shared" si="60"/>
        <v>0</v>
      </c>
      <c r="E236" s="78">
        <f t="shared" si="60"/>
        <v>0</v>
      </c>
      <c r="F236" s="78">
        <f t="shared" si="60"/>
        <v>0</v>
      </c>
      <c r="G236" s="78">
        <f t="shared" si="60"/>
        <v>0</v>
      </c>
      <c r="H236" s="78">
        <f t="shared" si="60"/>
        <v>0</v>
      </c>
      <c r="I236" s="78">
        <f t="shared" si="60"/>
        <v>0</v>
      </c>
      <c r="J236" s="78">
        <f t="shared" si="60"/>
        <v>0</v>
      </c>
      <c r="K236" s="76"/>
      <c r="L236" s="76"/>
      <c r="M236" s="76"/>
      <c r="N236" s="76"/>
      <c r="O236" s="76"/>
      <c r="P236" s="76"/>
      <c r="Q236" s="76"/>
      <c r="R236" s="76"/>
      <c r="S236" s="76"/>
      <c r="T236" s="76"/>
      <c r="U236" s="76"/>
      <c r="V236" s="76"/>
      <c r="W236" s="76"/>
    </row>
    <row r="237" spans="1:23">
      <c r="A237" s="77">
        <f t="shared" si="55"/>
        <v>0</v>
      </c>
      <c r="B237" s="77"/>
      <c r="C237" s="225"/>
      <c r="D237" s="78">
        <f t="shared" si="60"/>
        <v>0</v>
      </c>
      <c r="E237" s="78">
        <f t="shared" si="60"/>
        <v>0</v>
      </c>
      <c r="F237" s="78">
        <f t="shared" si="60"/>
        <v>0</v>
      </c>
      <c r="G237" s="78">
        <f t="shared" si="60"/>
        <v>0</v>
      </c>
      <c r="H237" s="78">
        <f t="shared" si="60"/>
        <v>0</v>
      </c>
      <c r="I237" s="78">
        <f t="shared" si="60"/>
        <v>0</v>
      </c>
      <c r="J237" s="78">
        <f t="shared" si="60"/>
        <v>0</v>
      </c>
      <c r="K237" s="76"/>
      <c r="L237" s="76"/>
      <c r="M237" s="76"/>
      <c r="N237" s="76"/>
      <c r="O237" s="76"/>
      <c r="P237" s="76"/>
      <c r="Q237" s="76"/>
      <c r="R237" s="76"/>
      <c r="S237" s="76"/>
      <c r="T237" s="76"/>
      <c r="U237" s="76"/>
      <c r="V237" s="76"/>
      <c r="W237" s="76"/>
    </row>
    <row r="238" spans="1:23">
      <c r="A238" s="77">
        <f t="shared" si="55"/>
        <v>0</v>
      </c>
      <c r="B238" s="77"/>
      <c r="C238" s="225"/>
      <c r="D238" s="78">
        <f t="shared" si="60"/>
        <v>0</v>
      </c>
      <c r="E238" s="78">
        <f t="shared" si="60"/>
        <v>0</v>
      </c>
      <c r="F238" s="78">
        <f t="shared" si="60"/>
        <v>0</v>
      </c>
      <c r="G238" s="78">
        <f t="shared" si="60"/>
        <v>0</v>
      </c>
      <c r="H238" s="78">
        <f t="shared" si="60"/>
        <v>0</v>
      </c>
      <c r="I238" s="78">
        <f t="shared" si="60"/>
        <v>0</v>
      </c>
      <c r="J238" s="78">
        <f t="shared" si="60"/>
        <v>0</v>
      </c>
      <c r="K238" s="76"/>
      <c r="L238" s="76"/>
      <c r="M238" s="76"/>
      <c r="N238" s="76"/>
      <c r="O238" s="76"/>
      <c r="P238" s="76"/>
      <c r="Q238" s="76"/>
      <c r="R238" s="76"/>
      <c r="S238" s="76"/>
      <c r="T238" s="76"/>
      <c r="U238" s="76"/>
      <c r="V238" s="76"/>
      <c r="W238" s="76"/>
    </row>
    <row r="239" spans="1:23">
      <c r="A239" s="77" t="str">
        <f>A175</f>
        <v>Pomegranate</v>
      </c>
      <c r="B239" s="77"/>
      <c r="C239" s="225"/>
      <c r="D239" s="78">
        <f t="shared" ref="D239:J243" si="61">C107*$C239*D$124</f>
        <v>0</v>
      </c>
      <c r="E239" s="78">
        <f t="shared" si="61"/>
        <v>0</v>
      </c>
      <c r="F239" s="78">
        <f t="shared" si="61"/>
        <v>0</v>
      </c>
      <c r="G239" s="78">
        <f t="shared" si="61"/>
        <v>0</v>
      </c>
      <c r="H239" s="78">
        <f t="shared" si="61"/>
        <v>0</v>
      </c>
      <c r="I239" s="78">
        <f t="shared" si="61"/>
        <v>0</v>
      </c>
      <c r="J239" s="78">
        <f t="shared" si="61"/>
        <v>0</v>
      </c>
      <c r="K239" s="76"/>
      <c r="L239" s="76"/>
      <c r="M239" s="76"/>
      <c r="N239" s="76"/>
      <c r="O239" s="76"/>
      <c r="P239" s="76"/>
      <c r="Q239" s="76"/>
      <c r="R239" s="76"/>
      <c r="S239" s="76"/>
      <c r="T239" s="76"/>
      <c r="U239" s="76"/>
      <c r="V239" s="76"/>
      <c r="W239" s="76"/>
    </row>
    <row r="240" spans="1:23">
      <c r="A240" s="77" t="str">
        <f>A176</f>
        <v>Custard Apple</v>
      </c>
      <c r="B240" s="77"/>
      <c r="C240" s="225"/>
      <c r="D240" s="78">
        <f t="shared" si="61"/>
        <v>0</v>
      </c>
      <c r="E240" s="78">
        <f t="shared" si="61"/>
        <v>0</v>
      </c>
      <c r="F240" s="78">
        <f t="shared" si="61"/>
        <v>0</v>
      </c>
      <c r="G240" s="78">
        <f t="shared" si="61"/>
        <v>0</v>
      </c>
      <c r="H240" s="78">
        <f t="shared" si="61"/>
        <v>0</v>
      </c>
      <c r="I240" s="78">
        <f t="shared" si="61"/>
        <v>0</v>
      </c>
      <c r="J240" s="78">
        <f t="shared" si="61"/>
        <v>0</v>
      </c>
      <c r="K240" s="76"/>
      <c r="L240" s="76"/>
      <c r="M240" s="76"/>
      <c r="N240" s="76"/>
      <c r="O240" s="76"/>
      <c r="P240" s="76"/>
      <c r="Q240" s="76"/>
      <c r="R240" s="76"/>
      <c r="S240" s="76"/>
      <c r="T240" s="76"/>
      <c r="U240" s="76"/>
      <c r="V240" s="76"/>
      <c r="W240" s="76"/>
    </row>
    <row r="241" spans="1:23">
      <c r="A241" s="77" t="str">
        <f>A177</f>
        <v>Guava</v>
      </c>
      <c r="B241" s="77"/>
      <c r="C241" s="225"/>
      <c r="D241" s="78">
        <f t="shared" si="61"/>
        <v>0</v>
      </c>
      <c r="E241" s="78">
        <f t="shared" si="61"/>
        <v>0</v>
      </c>
      <c r="F241" s="78">
        <f t="shared" si="61"/>
        <v>0</v>
      </c>
      <c r="G241" s="78">
        <f t="shared" si="61"/>
        <v>0</v>
      </c>
      <c r="H241" s="78">
        <f t="shared" si="61"/>
        <v>0</v>
      </c>
      <c r="I241" s="78">
        <f t="shared" si="61"/>
        <v>0</v>
      </c>
      <c r="J241" s="78">
        <f t="shared" si="61"/>
        <v>0</v>
      </c>
      <c r="K241" s="76"/>
      <c r="L241" s="76"/>
      <c r="M241" s="76"/>
      <c r="N241" s="76"/>
      <c r="O241" s="76"/>
      <c r="P241" s="76"/>
      <c r="Q241" s="76"/>
      <c r="R241" s="76"/>
      <c r="S241" s="76"/>
      <c r="T241" s="76"/>
      <c r="U241" s="76"/>
      <c r="V241" s="76"/>
      <c r="W241" s="76"/>
    </row>
    <row r="242" spans="1:23">
      <c r="A242" s="77" t="str">
        <f>A178</f>
        <v>Citrus</v>
      </c>
      <c r="B242" s="77"/>
      <c r="C242" s="225"/>
      <c r="D242" s="78">
        <f t="shared" si="61"/>
        <v>0</v>
      </c>
      <c r="E242" s="78">
        <f t="shared" si="61"/>
        <v>0</v>
      </c>
      <c r="F242" s="78">
        <f t="shared" si="61"/>
        <v>0</v>
      </c>
      <c r="G242" s="78">
        <f t="shared" si="61"/>
        <v>0</v>
      </c>
      <c r="H242" s="78">
        <f t="shared" si="61"/>
        <v>0</v>
      </c>
      <c r="I242" s="78">
        <f t="shared" si="61"/>
        <v>0</v>
      </c>
      <c r="J242" s="78">
        <f t="shared" si="61"/>
        <v>0</v>
      </c>
      <c r="K242" s="76"/>
      <c r="L242" s="76"/>
      <c r="M242" s="76"/>
      <c r="N242" s="76"/>
      <c r="O242" s="76"/>
      <c r="P242" s="76"/>
      <c r="Q242" s="76"/>
      <c r="R242" s="76"/>
      <c r="S242" s="76"/>
      <c r="T242" s="76"/>
      <c r="U242" s="76"/>
      <c r="V242" s="76"/>
      <c r="W242" s="76"/>
    </row>
    <row r="243" spans="1:23">
      <c r="A243" s="77">
        <f>A179</f>
        <v>0</v>
      </c>
      <c r="B243" s="77"/>
      <c r="C243" s="225"/>
      <c r="D243" s="78">
        <f t="shared" si="61"/>
        <v>0</v>
      </c>
      <c r="E243" s="78">
        <f t="shared" si="61"/>
        <v>0</v>
      </c>
      <c r="F243" s="78">
        <f t="shared" si="61"/>
        <v>0</v>
      </c>
      <c r="G243" s="78">
        <f t="shared" si="61"/>
        <v>0</v>
      </c>
      <c r="H243" s="78">
        <f t="shared" si="61"/>
        <v>0</v>
      </c>
      <c r="I243" s="78">
        <f t="shared" si="61"/>
        <v>0</v>
      </c>
      <c r="J243" s="78">
        <f t="shared" si="61"/>
        <v>0</v>
      </c>
      <c r="K243" s="76"/>
      <c r="L243" s="76"/>
      <c r="M243" s="76"/>
      <c r="N243" s="76"/>
      <c r="O243" s="76"/>
      <c r="P243" s="76"/>
      <c r="Q243" s="76"/>
      <c r="R243" s="76"/>
      <c r="S243" s="76"/>
      <c r="T243" s="76"/>
      <c r="U243" s="76"/>
      <c r="V243" s="76"/>
      <c r="W243" s="76"/>
    </row>
    <row r="244" spans="1:23">
      <c r="A244" s="77" t="str">
        <f>A181</f>
        <v>Fertilizer(Rate/KG)</v>
      </c>
      <c r="B244" s="77"/>
      <c r="C244" s="78"/>
      <c r="D244" s="78"/>
      <c r="E244" s="78"/>
      <c r="F244" s="78"/>
      <c r="G244" s="78"/>
      <c r="H244" s="78"/>
      <c r="I244" s="78"/>
      <c r="J244" s="78"/>
      <c r="K244" s="76"/>
      <c r="L244" s="76"/>
      <c r="M244" s="76"/>
      <c r="N244" s="76"/>
      <c r="O244" s="76"/>
      <c r="P244" s="76"/>
      <c r="Q244" s="76"/>
      <c r="R244" s="76"/>
      <c r="S244" s="76"/>
      <c r="T244" s="76"/>
      <c r="U244" s="76"/>
      <c r="V244" s="76"/>
      <c r="W244" s="76"/>
    </row>
    <row r="245" spans="1:23">
      <c r="A245" s="77" t="str">
        <f>A182</f>
        <v>SSP</v>
      </c>
      <c r="B245" s="77"/>
      <c r="C245" s="225">
        <v>6</v>
      </c>
      <c r="D245" s="78">
        <f t="shared" ref="D245:J245" si="62">C114*$C$245*D124</f>
        <v>0</v>
      </c>
      <c r="E245" s="78">
        <f t="shared" si="62"/>
        <v>0</v>
      </c>
      <c r="F245" s="78">
        <f t="shared" si="62"/>
        <v>0</v>
      </c>
      <c r="G245" s="78">
        <f t="shared" si="62"/>
        <v>0</v>
      </c>
      <c r="H245" s="78">
        <f t="shared" si="62"/>
        <v>0</v>
      </c>
      <c r="I245" s="78">
        <f t="shared" si="62"/>
        <v>0</v>
      </c>
      <c r="J245" s="78">
        <f t="shared" si="62"/>
        <v>0</v>
      </c>
      <c r="K245" s="76"/>
      <c r="L245" s="76"/>
      <c r="M245" s="76"/>
      <c r="N245" s="76"/>
      <c r="O245" s="76"/>
      <c r="P245" s="76"/>
      <c r="Q245" s="76"/>
      <c r="R245" s="76"/>
      <c r="S245" s="76"/>
      <c r="T245" s="76"/>
      <c r="U245" s="76"/>
      <c r="V245" s="76"/>
      <c r="W245" s="76"/>
    </row>
    <row r="246" spans="1:23">
      <c r="A246" s="77" t="str">
        <f>A183</f>
        <v>Urea</v>
      </c>
      <c r="B246" s="77"/>
      <c r="C246" s="225">
        <v>5</v>
      </c>
      <c r="D246" s="78">
        <f t="shared" ref="D246:J246" si="63">C115*$C$246*D124</f>
        <v>0</v>
      </c>
      <c r="E246" s="78">
        <f t="shared" si="63"/>
        <v>0</v>
      </c>
      <c r="F246" s="78">
        <f t="shared" si="63"/>
        <v>0</v>
      </c>
      <c r="G246" s="78">
        <f t="shared" si="63"/>
        <v>0</v>
      </c>
      <c r="H246" s="78">
        <f t="shared" si="63"/>
        <v>0</v>
      </c>
      <c r="I246" s="78">
        <f t="shared" si="63"/>
        <v>0</v>
      </c>
      <c r="J246" s="78">
        <f t="shared" si="63"/>
        <v>0</v>
      </c>
      <c r="K246" s="76"/>
      <c r="L246" s="76"/>
      <c r="M246" s="76"/>
      <c r="N246" s="76"/>
      <c r="O246" s="76"/>
      <c r="P246" s="76"/>
      <c r="Q246" s="76"/>
      <c r="R246" s="76"/>
      <c r="S246" s="76"/>
      <c r="T246" s="76"/>
      <c r="U246" s="76"/>
      <c r="V246" s="76"/>
      <c r="W246" s="76"/>
    </row>
    <row r="247" spans="1:23">
      <c r="A247" s="77" t="str">
        <f>A184</f>
        <v>DAP</v>
      </c>
      <c r="B247" s="77"/>
      <c r="C247" s="225">
        <v>27</v>
      </c>
      <c r="D247" s="78">
        <f t="shared" ref="D247:J247" si="64">C116*$C$247*D124</f>
        <v>0</v>
      </c>
      <c r="E247" s="78">
        <f t="shared" si="64"/>
        <v>0</v>
      </c>
      <c r="F247" s="78">
        <f t="shared" si="64"/>
        <v>0</v>
      </c>
      <c r="G247" s="78">
        <f t="shared" si="64"/>
        <v>0</v>
      </c>
      <c r="H247" s="78">
        <f t="shared" si="64"/>
        <v>0</v>
      </c>
      <c r="I247" s="78">
        <f t="shared" si="64"/>
        <v>0</v>
      </c>
      <c r="J247" s="78">
        <f t="shared" si="64"/>
        <v>0</v>
      </c>
      <c r="K247" s="76"/>
      <c r="L247" s="76"/>
      <c r="M247" s="76"/>
      <c r="N247" s="76"/>
      <c r="O247" s="76"/>
      <c r="P247" s="76"/>
      <c r="Q247" s="76"/>
      <c r="R247" s="76"/>
      <c r="S247" s="76"/>
      <c r="T247" s="76"/>
      <c r="U247" s="76"/>
      <c r="V247" s="76"/>
      <c r="W247" s="76"/>
    </row>
    <row r="248" spans="1:23">
      <c r="A248" s="77"/>
      <c r="B248" s="77"/>
      <c r="C248" s="78"/>
      <c r="D248" s="78"/>
      <c r="E248" s="78"/>
      <c r="F248" s="78"/>
      <c r="G248" s="78"/>
      <c r="H248" s="78"/>
      <c r="I248" s="78"/>
      <c r="J248" s="78"/>
      <c r="K248" s="76"/>
      <c r="L248" s="76"/>
      <c r="M248" s="76"/>
      <c r="N248" s="76"/>
      <c r="O248" s="76"/>
      <c r="P248" s="76"/>
      <c r="Q248" s="76"/>
      <c r="R248" s="76"/>
      <c r="S248" s="76"/>
      <c r="T248" s="76"/>
      <c r="U248" s="76"/>
      <c r="V248" s="76"/>
      <c r="W248" s="76"/>
    </row>
    <row r="249" spans="1:23">
      <c r="A249" s="77" t="str">
        <f>A186</f>
        <v>Pesticide</v>
      </c>
      <c r="B249" s="77"/>
      <c r="C249" s="78"/>
      <c r="D249" s="78"/>
      <c r="E249" s="78"/>
      <c r="F249" s="78"/>
      <c r="G249" s="78"/>
      <c r="H249" s="78"/>
      <c r="I249" s="78"/>
      <c r="J249" s="78"/>
      <c r="K249" s="76"/>
      <c r="L249" s="76"/>
      <c r="M249" s="76"/>
      <c r="N249" s="76"/>
      <c r="O249" s="76"/>
      <c r="P249" s="76"/>
      <c r="Q249" s="76"/>
      <c r="R249" s="76"/>
      <c r="S249" s="76"/>
      <c r="T249" s="76"/>
      <c r="U249" s="76"/>
      <c r="V249" s="76"/>
      <c r="W249" s="76"/>
    </row>
    <row r="250" spans="1:23">
      <c r="A250" s="77" t="str">
        <f>A187</f>
        <v>Dupont Coragen</v>
      </c>
      <c r="B250" s="77"/>
      <c r="C250" s="225">
        <v>2800</v>
      </c>
      <c r="D250" s="78">
        <f t="shared" ref="D250:J250" si="65">C118*$C$250*D124</f>
        <v>0</v>
      </c>
      <c r="E250" s="78">
        <f t="shared" si="65"/>
        <v>0</v>
      </c>
      <c r="F250" s="78">
        <f t="shared" si="65"/>
        <v>0</v>
      </c>
      <c r="G250" s="78">
        <f t="shared" si="65"/>
        <v>0</v>
      </c>
      <c r="H250" s="78">
        <f t="shared" si="65"/>
        <v>0</v>
      </c>
      <c r="I250" s="78">
        <f t="shared" si="65"/>
        <v>0</v>
      </c>
      <c r="J250" s="78">
        <f t="shared" si="65"/>
        <v>0</v>
      </c>
      <c r="K250" s="76"/>
      <c r="L250" s="76"/>
      <c r="M250" s="76"/>
      <c r="N250" s="76"/>
      <c r="O250" s="76"/>
      <c r="P250" s="76"/>
      <c r="Q250" s="76"/>
      <c r="R250" s="76"/>
      <c r="S250" s="76"/>
      <c r="T250" s="76"/>
      <c r="U250" s="76"/>
      <c r="V250" s="76"/>
      <c r="W250" s="76"/>
    </row>
    <row r="251" spans="1:23">
      <c r="A251" s="77" t="str">
        <f>A188</f>
        <v>Confidor Boyer</v>
      </c>
      <c r="B251" s="77"/>
      <c r="C251" s="225">
        <v>2000</v>
      </c>
      <c r="D251" s="78">
        <f t="shared" ref="D251:J251" si="66">C119*$C$251*D124</f>
        <v>0</v>
      </c>
      <c r="E251" s="78">
        <f t="shared" si="66"/>
        <v>0</v>
      </c>
      <c r="F251" s="78">
        <f t="shared" si="66"/>
        <v>0</v>
      </c>
      <c r="G251" s="78">
        <f t="shared" si="66"/>
        <v>0</v>
      </c>
      <c r="H251" s="78">
        <f t="shared" si="66"/>
        <v>0</v>
      </c>
      <c r="I251" s="78">
        <f t="shared" si="66"/>
        <v>0</v>
      </c>
      <c r="J251" s="78">
        <f t="shared" si="66"/>
        <v>0</v>
      </c>
      <c r="K251" s="76"/>
      <c r="L251" s="76"/>
      <c r="M251" s="76"/>
      <c r="N251" s="76"/>
      <c r="O251" s="76"/>
      <c r="P251" s="76"/>
      <c r="Q251" s="76"/>
      <c r="R251" s="76"/>
      <c r="S251" s="76"/>
      <c r="T251" s="76"/>
      <c r="U251" s="76"/>
      <c r="V251" s="76"/>
      <c r="W251" s="76"/>
    </row>
    <row r="252" spans="1:23">
      <c r="A252" s="77"/>
      <c r="B252" s="77"/>
      <c r="C252" s="78"/>
      <c r="D252" s="78"/>
      <c r="E252" s="78"/>
      <c r="F252" s="78"/>
      <c r="G252" s="78"/>
      <c r="H252" s="78"/>
      <c r="I252" s="78"/>
      <c r="J252" s="78"/>
      <c r="K252" s="76"/>
      <c r="L252" s="76"/>
      <c r="M252" s="76"/>
      <c r="N252" s="76"/>
      <c r="O252" s="76"/>
      <c r="P252" s="76"/>
      <c r="Q252" s="76"/>
      <c r="R252" s="76"/>
      <c r="S252" s="76"/>
      <c r="T252" s="76"/>
      <c r="U252" s="76"/>
      <c r="V252" s="76"/>
      <c r="W252" s="76"/>
    </row>
    <row r="253" spans="1:23">
      <c r="A253" s="77" t="s">
        <v>292</v>
      </c>
      <c r="B253" s="77"/>
      <c r="C253" s="225">
        <v>10</v>
      </c>
      <c r="D253" s="78">
        <f t="shared" ref="D253:J253" si="67">(SUM(C63:C119)/50)*$C$253*D124</f>
        <v>0</v>
      </c>
      <c r="E253" s="78">
        <f t="shared" si="67"/>
        <v>0</v>
      </c>
      <c r="F253" s="78">
        <f t="shared" si="67"/>
        <v>0</v>
      </c>
      <c r="G253" s="78">
        <f t="shared" si="67"/>
        <v>0</v>
      </c>
      <c r="H253" s="78">
        <f t="shared" si="67"/>
        <v>0</v>
      </c>
      <c r="I253" s="78">
        <f t="shared" si="67"/>
        <v>0</v>
      </c>
      <c r="J253" s="78">
        <f t="shared" si="67"/>
        <v>0</v>
      </c>
      <c r="K253" s="76"/>
      <c r="L253" s="76"/>
      <c r="M253" s="76"/>
      <c r="N253" s="76"/>
      <c r="O253" s="76"/>
      <c r="P253" s="76"/>
      <c r="Q253" s="76"/>
      <c r="R253" s="76"/>
      <c r="S253" s="76"/>
      <c r="T253" s="76"/>
      <c r="U253" s="76"/>
      <c r="V253" s="76"/>
      <c r="W253" s="76"/>
    </row>
    <row r="254" spans="1:23">
      <c r="A254" s="77" t="s">
        <v>172</v>
      </c>
      <c r="B254" s="77"/>
      <c r="C254" s="225">
        <v>100</v>
      </c>
      <c r="D254" s="78">
        <f t="shared" ref="D254:J254" si="68">(SUM(C63:C119)/50)*$C$254*D124</f>
        <v>0</v>
      </c>
      <c r="E254" s="78">
        <f t="shared" si="68"/>
        <v>0</v>
      </c>
      <c r="F254" s="78">
        <f t="shared" si="68"/>
        <v>0</v>
      </c>
      <c r="G254" s="78">
        <f t="shared" si="68"/>
        <v>0</v>
      </c>
      <c r="H254" s="78">
        <f t="shared" si="68"/>
        <v>0</v>
      </c>
      <c r="I254" s="78">
        <f t="shared" si="68"/>
        <v>0</v>
      </c>
      <c r="J254" s="78">
        <f t="shared" si="68"/>
        <v>0</v>
      </c>
      <c r="K254" s="76"/>
      <c r="L254" s="76"/>
      <c r="M254" s="76"/>
      <c r="N254" s="76"/>
      <c r="O254" s="76"/>
      <c r="P254" s="76"/>
      <c r="Q254" s="76"/>
      <c r="R254" s="76"/>
      <c r="S254" s="76"/>
      <c r="T254" s="76"/>
      <c r="U254" s="76"/>
      <c r="V254" s="76"/>
      <c r="W254" s="76"/>
    </row>
    <row r="255" spans="1:23">
      <c r="A255" s="77"/>
      <c r="B255" s="77"/>
      <c r="C255" s="225"/>
      <c r="D255" s="177"/>
      <c r="E255" s="78"/>
      <c r="F255" s="78"/>
      <c r="G255" s="78"/>
      <c r="H255" s="78"/>
      <c r="I255" s="78"/>
      <c r="J255" s="78"/>
      <c r="K255" s="76"/>
      <c r="L255" s="76"/>
      <c r="M255" s="76"/>
      <c r="N255" s="76"/>
      <c r="O255" s="76"/>
      <c r="P255" s="76"/>
      <c r="Q255" s="76"/>
      <c r="R255" s="76"/>
      <c r="S255" s="76"/>
      <c r="T255" s="76"/>
      <c r="U255" s="76"/>
      <c r="V255" s="76"/>
      <c r="W255" s="76"/>
    </row>
    <row r="256" spans="1:23">
      <c r="A256" s="77"/>
      <c r="B256" s="77"/>
      <c r="C256" s="225"/>
      <c r="D256" s="177"/>
      <c r="E256" s="78"/>
      <c r="F256" s="78"/>
      <c r="G256" s="78"/>
      <c r="H256" s="78"/>
      <c r="I256" s="78"/>
      <c r="J256" s="78"/>
      <c r="K256" s="76"/>
      <c r="L256" s="76"/>
      <c r="M256" s="76"/>
      <c r="N256" s="76"/>
      <c r="O256" s="76"/>
      <c r="P256" s="76"/>
      <c r="Q256" s="76"/>
      <c r="R256" s="76"/>
      <c r="S256" s="76"/>
      <c r="T256" s="76"/>
      <c r="U256" s="76"/>
      <c r="V256" s="76"/>
      <c r="W256" s="76"/>
    </row>
    <row r="257" spans="1:23">
      <c r="A257" s="77"/>
      <c r="B257" s="77"/>
      <c r="C257" s="225"/>
      <c r="D257" s="177"/>
      <c r="E257" s="78"/>
      <c r="F257" s="78"/>
      <c r="G257" s="78"/>
      <c r="H257" s="78"/>
      <c r="I257" s="78"/>
      <c r="J257" s="78"/>
      <c r="K257" s="76"/>
      <c r="L257" s="76"/>
      <c r="M257" s="76"/>
      <c r="N257" s="76"/>
      <c r="O257" s="76"/>
      <c r="P257" s="76"/>
      <c r="Q257" s="76"/>
      <c r="R257" s="76"/>
      <c r="S257" s="76"/>
      <c r="T257" s="76"/>
      <c r="U257" s="76"/>
      <c r="V257" s="76"/>
      <c r="W257" s="76"/>
    </row>
    <row r="258" spans="1:23">
      <c r="A258" s="77"/>
      <c r="B258" s="77"/>
      <c r="C258" s="225"/>
      <c r="D258" s="177"/>
      <c r="E258" s="78"/>
      <c r="F258" s="78"/>
      <c r="G258" s="78"/>
      <c r="H258" s="78"/>
      <c r="I258" s="78"/>
      <c r="J258" s="78"/>
      <c r="K258" s="76"/>
      <c r="L258" s="76"/>
      <c r="M258" s="76"/>
      <c r="N258" s="76"/>
      <c r="O258" s="76"/>
      <c r="P258" s="76"/>
      <c r="Q258" s="76"/>
      <c r="R258" s="76"/>
      <c r="S258" s="76"/>
      <c r="T258" s="76"/>
      <c r="U258" s="76"/>
      <c r="V258" s="76"/>
      <c r="W258" s="76"/>
    </row>
    <row r="259" spans="1:23">
      <c r="A259" s="77" t="s">
        <v>344</v>
      </c>
      <c r="B259" s="77"/>
      <c r="C259" s="78"/>
      <c r="D259" s="177"/>
      <c r="E259" s="78">
        <f>'5.Closing Stock &amp; W Capital'!F6</f>
        <v>0</v>
      </c>
      <c r="F259" s="78">
        <f>'5.Closing Stock &amp; W Capital'!G6</f>
        <v>0</v>
      </c>
      <c r="G259" s="78">
        <f>'5.Closing Stock &amp; W Capital'!H6</f>
        <v>0</v>
      </c>
      <c r="H259" s="78">
        <f>'5.Closing Stock &amp; W Capital'!I6</f>
        <v>0</v>
      </c>
      <c r="I259" s="78">
        <f>'5.Closing Stock &amp; W Capital'!J6</f>
        <v>0</v>
      </c>
      <c r="J259" s="78">
        <f>'5.Closing Stock &amp; W Capital'!K6</f>
        <v>0</v>
      </c>
      <c r="K259" s="76"/>
      <c r="L259" s="76"/>
      <c r="M259" s="76"/>
      <c r="N259" s="76"/>
      <c r="O259" s="76"/>
      <c r="P259" s="76"/>
      <c r="Q259" s="76"/>
      <c r="R259" s="76"/>
      <c r="S259" s="76"/>
      <c r="T259" s="76"/>
      <c r="U259" s="76"/>
      <c r="V259" s="76"/>
      <c r="W259" s="76"/>
    </row>
    <row r="260" spans="1:23">
      <c r="A260" s="77" t="s">
        <v>345</v>
      </c>
      <c r="B260" s="77"/>
      <c r="C260" s="77"/>
      <c r="D260" s="177">
        <f>'5.Closing Stock &amp; W Capital'!E15</f>
        <v>0</v>
      </c>
      <c r="E260" s="78">
        <f>'5.Closing Stock &amp; W Capital'!F15</f>
        <v>0</v>
      </c>
      <c r="F260" s="78">
        <f>'5.Closing Stock &amp; W Capital'!G15</f>
        <v>0</v>
      </c>
      <c r="G260" s="78">
        <f>'5.Closing Stock &amp; W Capital'!H15</f>
        <v>0</v>
      </c>
      <c r="H260" s="78">
        <f>'5.Closing Stock &amp; W Capital'!I15</f>
        <v>0</v>
      </c>
      <c r="I260" s="78">
        <f>'5.Closing Stock &amp; W Capital'!J15</f>
        <v>0</v>
      </c>
      <c r="J260" s="78">
        <f>'5.Closing Stock &amp; W Capital'!K15</f>
        <v>0</v>
      </c>
      <c r="K260" s="76"/>
      <c r="L260" s="76"/>
      <c r="M260" s="76"/>
      <c r="N260" s="76"/>
      <c r="O260" s="76"/>
      <c r="P260" s="76"/>
      <c r="Q260" s="76"/>
      <c r="R260" s="76"/>
      <c r="S260" s="76"/>
      <c r="T260" s="76"/>
      <c r="U260" s="76"/>
      <c r="V260" s="76"/>
      <c r="W260" s="76"/>
    </row>
    <row r="261" spans="1:23">
      <c r="A261" s="77"/>
      <c r="B261" s="77"/>
      <c r="C261" s="77"/>
      <c r="D261" s="76"/>
      <c r="E261" s="76"/>
      <c r="F261" s="76"/>
      <c r="G261" s="76"/>
      <c r="H261" s="76"/>
      <c r="I261" s="76"/>
      <c r="J261" s="76"/>
      <c r="K261" s="76"/>
      <c r="L261" s="76"/>
      <c r="M261" s="76"/>
      <c r="N261" s="76"/>
      <c r="O261" s="76"/>
      <c r="P261" s="76"/>
      <c r="Q261" s="76"/>
      <c r="R261" s="76"/>
      <c r="S261" s="76"/>
      <c r="T261" s="76"/>
      <c r="U261" s="76"/>
      <c r="V261" s="76"/>
      <c r="W261" s="76"/>
    </row>
    <row r="262" spans="1:23">
      <c r="A262" s="79" t="s">
        <v>322</v>
      </c>
      <c r="B262" s="79"/>
      <c r="C262" s="95"/>
      <c r="D262" s="95">
        <f>SUM(D197:D258)+D259-D260</f>
        <v>0</v>
      </c>
      <c r="E262" s="95">
        <f t="shared" ref="E262:J262" si="69">SUM(E197:E258)+E259-E260</f>
        <v>0</v>
      </c>
      <c r="F262" s="95">
        <f t="shared" si="69"/>
        <v>0</v>
      </c>
      <c r="G262" s="95">
        <f t="shared" si="69"/>
        <v>0</v>
      </c>
      <c r="H262" s="95">
        <f t="shared" si="69"/>
        <v>0</v>
      </c>
      <c r="I262" s="95">
        <f t="shared" si="69"/>
        <v>0</v>
      </c>
      <c r="J262" s="95">
        <f t="shared" si="69"/>
        <v>0</v>
      </c>
      <c r="K262" s="76"/>
      <c r="L262" s="76"/>
      <c r="M262" s="76"/>
      <c r="N262" s="76"/>
      <c r="O262" s="76"/>
      <c r="P262" s="76"/>
      <c r="Q262" s="76"/>
      <c r="R262" s="76"/>
      <c r="S262" s="76"/>
      <c r="T262" s="76"/>
      <c r="U262" s="76"/>
      <c r="V262" s="76"/>
      <c r="W262" s="76"/>
    </row>
    <row r="263" spans="1:23">
      <c r="A263" s="77"/>
      <c r="B263" s="77"/>
      <c r="C263" s="78"/>
      <c r="D263" s="78"/>
      <c r="E263" s="78"/>
      <c r="F263" s="78"/>
      <c r="G263" s="78"/>
      <c r="H263" s="78"/>
      <c r="I263" s="78"/>
      <c r="J263" s="78"/>
      <c r="K263" s="76"/>
      <c r="L263" s="76"/>
      <c r="M263" s="76"/>
      <c r="N263" s="76"/>
      <c r="O263" s="76"/>
      <c r="P263" s="76"/>
      <c r="Q263" s="76"/>
      <c r="R263" s="76"/>
      <c r="S263" s="76"/>
      <c r="T263" s="76"/>
      <c r="U263" s="76"/>
      <c r="V263" s="76"/>
      <c r="W263" s="76"/>
    </row>
    <row r="264" spans="1:23">
      <c r="A264" s="79" t="s">
        <v>310</v>
      </c>
      <c r="B264" s="79"/>
      <c r="C264" s="78"/>
      <c r="D264" s="78"/>
      <c r="E264" s="78"/>
      <c r="F264" s="78"/>
      <c r="G264" s="78"/>
      <c r="H264" s="78"/>
      <c r="I264" s="78"/>
      <c r="J264" s="78"/>
      <c r="K264" s="76"/>
      <c r="L264" s="76"/>
      <c r="M264" s="76"/>
      <c r="N264" s="76"/>
      <c r="O264" s="76"/>
      <c r="P264" s="76"/>
      <c r="Q264" s="76"/>
      <c r="R264" s="76"/>
      <c r="S264" s="76"/>
      <c r="T264" s="76"/>
      <c r="U264" s="76"/>
      <c r="V264" s="76"/>
      <c r="W264" s="76"/>
    </row>
    <row r="265" spans="1:23">
      <c r="A265" s="77" t="s">
        <v>327</v>
      </c>
      <c r="B265" s="77">
        <v>12</v>
      </c>
      <c r="C265" s="225">
        <v>0</v>
      </c>
      <c r="D265" s="78">
        <f t="shared" ref="D265:J265" si="70">$B$265*$C$265*D124</f>
        <v>0</v>
      </c>
      <c r="E265" s="78">
        <f t="shared" si="70"/>
        <v>0</v>
      </c>
      <c r="F265" s="78">
        <f t="shared" si="70"/>
        <v>0</v>
      </c>
      <c r="G265" s="78">
        <f t="shared" si="70"/>
        <v>0</v>
      </c>
      <c r="H265" s="78">
        <f t="shared" si="70"/>
        <v>0</v>
      </c>
      <c r="I265" s="78">
        <f t="shared" si="70"/>
        <v>0</v>
      </c>
      <c r="J265" s="78">
        <f t="shared" si="70"/>
        <v>0</v>
      </c>
      <c r="K265" s="76"/>
      <c r="L265" s="76"/>
      <c r="M265" s="76"/>
      <c r="N265" s="76"/>
      <c r="O265" s="76"/>
      <c r="P265" s="76"/>
      <c r="Q265" s="76"/>
      <c r="R265" s="76"/>
      <c r="S265" s="76"/>
      <c r="T265" s="76"/>
      <c r="U265" s="76"/>
      <c r="V265" s="76"/>
      <c r="W265" s="76"/>
    </row>
    <row r="266" spans="1:23">
      <c r="A266" s="77" t="s">
        <v>328</v>
      </c>
      <c r="B266" s="201">
        <v>1</v>
      </c>
      <c r="C266" s="225">
        <v>0</v>
      </c>
      <c r="D266" s="78">
        <f t="shared" ref="D266:J266" si="71">$B$266*$C$266*12*D124</f>
        <v>0</v>
      </c>
      <c r="E266" s="78">
        <f t="shared" si="71"/>
        <v>0</v>
      </c>
      <c r="F266" s="78">
        <f t="shared" si="71"/>
        <v>0</v>
      </c>
      <c r="G266" s="78">
        <f t="shared" si="71"/>
        <v>0</v>
      </c>
      <c r="H266" s="78">
        <f t="shared" si="71"/>
        <v>0</v>
      </c>
      <c r="I266" s="78">
        <f t="shared" si="71"/>
        <v>0</v>
      </c>
      <c r="J266" s="78">
        <f t="shared" si="71"/>
        <v>0</v>
      </c>
      <c r="K266" s="76"/>
      <c r="L266" s="76"/>
      <c r="M266" s="76"/>
      <c r="N266" s="76"/>
      <c r="O266" s="76"/>
      <c r="P266" s="76"/>
      <c r="Q266" s="76"/>
      <c r="R266" s="76"/>
      <c r="S266" s="76"/>
      <c r="T266" s="76"/>
      <c r="U266" s="76"/>
      <c r="V266" s="76"/>
      <c r="W266" s="76"/>
    </row>
    <row r="267" spans="1:23">
      <c r="A267" s="77" t="s">
        <v>192</v>
      </c>
      <c r="B267" s="201">
        <v>5</v>
      </c>
      <c r="C267" s="225">
        <v>0</v>
      </c>
      <c r="D267" s="78">
        <f t="shared" ref="D267:J267" si="72">$B$267*$C$267*12*D124</f>
        <v>0</v>
      </c>
      <c r="E267" s="78">
        <f t="shared" si="72"/>
        <v>0</v>
      </c>
      <c r="F267" s="78">
        <f t="shared" si="72"/>
        <v>0</v>
      </c>
      <c r="G267" s="78">
        <f t="shared" si="72"/>
        <v>0</v>
      </c>
      <c r="H267" s="78">
        <f t="shared" si="72"/>
        <v>0</v>
      </c>
      <c r="I267" s="78">
        <f t="shared" si="72"/>
        <v>0</v>
      </c>
      <c r="J267" s="78">
        <f t="shared" si="72"/>
        <v>0</v>
      </c>
      <c r="K267" s="76"/>
      <c r="L267" s="76"/>
      <c r="M267" s="76"/>
      <c r="N267" s="76"/>
      <c r="O267" s="76"/>
      <c r="P267" s="76"/>
      <c r="Q267" s="76"/>
      <c r="R267" s="76"/>
      <c r="S267" s="76"/>
      <c r="T267" s="76"/>
      <c r="U267" s="76"/>
      <c r="V267" s="76"/>
      <c r="W267" s="76"/>
    </row>
    <row r="268" spans="1:23">
      <c r="A268" s="77" t="s">
        <v>329</v>
      </c>
      <c r="B268" s="77">
        <v>12</v>
      </c>
      <c r="C268" s="225">
        <v>0</v>
      </c>
      <c r="D268" s="78">
        <f t="shared" ref="D268:J268" si="73">$B$268*$C$268*D124</f>
        <v>0</v>
      </c>
      <c r="E268" s="78">
        <f t="shared" si="73"/>
        <v>0</v>
      </c>
      <c r="F268" s="78">
        <f t="shared" si="73"/>
        <v>0</v>
      </c>
      <c r="G268" s="78">
        <f t="shared" si="73"/>
        <v>0</v>
      </c>
      <c r="H268" s="78">
        <f t="shared" si="73"/>
        <v>0</v>
      </c>
      <c r="I268" s="78">
        <f t="shared" si="73"/>
        <v>0</v>
      </c>
      <c r="J268" s="78">
        <f t="shared" si="73"/>
        <v>0</v>
      </c>
      <c r="K268" s="76"/>
      <c r="L268" s="76"/>
      <c r="M268" s="76"/>
      <c r="N268" s="76"/>
      <c r="O268" s="76"/>
      <c r="P268" s="76"/>
      <c r="Q268" s="76"/>
      <c r="R268" s="76"/>
      <c r="S268" s="76"/>
      <c r="T268" s="76"/>
      <c r="U268" s="76"/>
      <c r="V268" s="76"/>
      <c r="W268" s="76"/>
    </row>
    <row r="269" spans="1:23">
      <c r="A269" s="77"/>
      <c r="B269" s="77"/>
      <c r="C269" s="225">
        <v>0</v>
      </c>
      <c r="D269" s="78"/>
      <c r="E269" s="78"/>
      <c r="F269" s="78"/>
      <c r="G269" s="78"/>
      <c r="H269" s="78"/>
      <c r="I269" s="78"/>
      <c r="J269" s="78"/>
      <c r="K269" s="76"/>
      <c r="L269" s="76"/>
      <c r="M269" s="76"/>
      <c r="N269" s="76"/>
      <c r="O269" s="76"/>
      <c r="P269" s="76"/>
      <c r="Q269" s="76"/>
      <c r="R269" s="76"/>
      <c r="S269" s="76"/>
      <c r="T269" s="76"/>
      <c r="U269" s="76"/>
      <c r="V269" s="76"/>
      <c r="W269" s="76"/>
    </row>
    <row r="270" spans="1:23">
      <c r="A270" s="77"/>
      <c r="B270" s="77"/>
      <c r="C270" s="225"/>
      <c r="D270" s="78"/>
      <c r="E270" s="78"/>
      <c r="F270" s="78"/>
      <c r="G270" s="78"/>
      <c r="H270" s="78"/>
      <c r="I270" s="78"/>
      <c r="J270" s="78"/>
      <c r="K270" s="76"/>
      <c r="L270" s="76"/>
      <c r="M270" s="76"/>
      <c r="N270" s="76"/>
      <c r="O270" s="76"/>
      <c r="P270" s="76"/>
      <c r="Q270" s="76"/>
      <c r="R270" s="76"/>
      <c r="S270" s="76"/>
      <c r="T270" s="76"/>
      <c r="U270" s="76"/>
      <c r="V270" s="76"/>
      <c r="W270" s="76"/>
    </row>
    <row r="271" spans="1:23">
      <c r="A271" s="77"/>
      <c r="B271" s="77"/>
      <c r="C271" s="225"/>
      <c r="D271" s="78"/>
      <c r="E271" s="78"/>
      <c r="F271" s="78"/>
      <c r="G271" s="78"/>
      <c r="H271" s="78"/>
      <c r="I271" s="78"/>
      <c r="J271" s="78"/>
      <c r="K271" s="76"/>
      <c r="L271" s="76"/>
      <c r="M271" s="76"/>
      <c r="N271" s="76"/>
      <c r="O271" s="76"/>
      <c r="P271" s="76"/>
      <c r="Q271" s="76"/>
      <c r="R271" s="76"/>
      <c r="S271" s="76"/>
      <c r="T271" s="76"/>
      <c r="U271" s="76"/>
      <c r="V271" s="76"/>
      <c r="W271" s="76"/>
    </row>
    <row r="272" spans="1:23">
      <c r="A272" s="77"/>
      <c r="B272" s="77"/>
      <c r="C272" s="225"/>
      <c r="D272" s="78"/>
      <c r="E272" s="78"/>
      <c r="F272" s="78"/>
      <c r="G272" s="78"/>
      <c r="H272" s="78"/>
      <c r="I272" s="78"/>
      <c r="J272" s="78"/>
      <c r="K272" s="76"/>
      <c r="L272" s="76"/>
      <c r="M272" s="76"/>
      <c r="N272" s="76"/>
      <c r="O272" s="76"/>
      <c r="P272" s="76"/>
      <c r="Q272" s="76"/>
      <c r="R272" s="76"/>
      <c r="S272" s="76"/>
      <c r="T272" s="76"/>
      <c r="U272" s="76"/>
      <c r="V272" s="76"/>
      <c r="W272" s="76"/>
    </row>
    <row r="273" spans="1:23">
      <c r="A273" s="79" t="s">
        <v>326</v>
      </c>
      <c r="B273" s="79"/>
      <c r="C273" s="95"/>
      <c r="D273" s="95">
        <f>SUM(D265:D272)</f>
        <v>0</v>
      </c>
      <c r="E273" s="95">
        <f t="shared" ref="E273:J273" si="74">SUM(E265:E272)</f>
        <v>0</v>
      </c>
      <c r="F273" s="95">
        <f t="shared" si="74"/>
        <v>0</v>
      </c>
      <c r="G273" s="95">
        <f t="shared" si="74"/>
        <v>0</v>
      </c>
      <c r="H273" s="95">
        <f t="shared" si="74"/>
        <v>0</v>
      </c>
      <c r="I273" s="95">
        <f t="shared" si="74"/>
        <v>0</v>
      </c>
      <c r="J273" s="95">
        <f t="shared" si="74"/>
        <v>0</v>
      </c>
      <c r="K273" s="76"/>
      <c r="L273" s="76"/>
      <c r="M273" s="76"/>
      <c r="N273" s="76"/>
      <c r="O273" s="76"/>
      <c r="P273" s="76"/>
      <c r="Q273" s="76"/>
      <c r="R273" s="76"/>
      <c r="S273" s="76"/>
      <c r="T273" s="76"/>
      <c r="U273" s="76"/>
      <c r="V273" s="76"/>
      <c r="W273" s="76"/>
    </row>
    <row r="274" spans="1:23">
      <c r="A274" s="170" t="s">
        <v>136</v>
      </c>
      <c r="B274" s="170"/>
      <c r="C274" s="178"/>
      <c r="D274" s="95">
        <f t="shared" ref="D274:J274" si="75">D262+D273</f>
        <v>0</v>
      </c>
      <c r="E274" s="95">
        <f t="shared" si="75"/>
        <v>0</v>
      </c>
      <c r="F274" s="95">
        <f t="shared" si="75"/>
        <v>0</v>
      </c>
      <c r="G274" s="95">
        <f t="shared" si="75"/>
        <v>0</v>
      </c>
      <c r="H274" s="95">
        <f t="shared" si="75"/>
        <v>0</v>
      </c>
      <c r="I274" s="95">
        <f t="shared" si="75"/>
        <v>0</v>
      </c>
      <c r="J274" s="95">
        <f t="shared" si="75"/>
        <v>0</v>
      </c>
      <c r="K274" s="76"/>
      <c r="L274" s="76"/>
      <c r="M274" s="76"/>
      <c r="N274" s="76"/>
      <c r="O274" s="76"/>
      <c r="P274" s="76"/>
      <c r="Q274" s="76"/>
      <c r="R274" s="76"/>
      <c r="S274" s="76"/>
      <c r="T274" s="76"/>
      <c r="U274" s="76"/>
      <c r="V274" s="76"/>
      <c r="W274" s="76"/>
    </row>
    <row r="275" spans="1:23">
      <c r="A275" s="77"/>
      <c r="B275" s="77"/>
      <c r="C275" s="78"/>
      <c r="D275" s="78"/>
      <c r="E275" s="78"/>
      <c r="F275" s="78"/>
      <c r="G275" s="78"/>
      <c r="H275" s="78"/>
      <c r="I275" s="78"/>
      <c r="J275" s="78"/>
      <c r="K275" s="76"/>
      <c r="L275" s="76"/>
      <c r="M275" s="76"/>
      <c r="N275" s="76"/>
      <c r="O275" s="76"/>
      <c r="P275" s="76"/>
      <c r="Q275" s="76"/>
      <c r="R275" s="76"/>
      <c r="S275" s="76"/>
      <c r="T275" s="76"/>
      <c r="U275" s="76"/>
      <c r="V275" s="76"/>
      <c r="W275" s="76"/>
    </row>
    <row r="276" spans="1:23">
      <c r="A276" s="170" t="s">
        <v>7</v>
      </c>
      <c r="B276" s="170"/>
      <c r="C276" s="178"/>
      <c r="D276" s="95">
        <f t="shared" ref="D276:J276" si="76">D191-D274</f>
        <v>0</v>
      </c>
      <c r="E276" s="95">
        <f t="shared" si="76"/>
        <v>0</v>
      </c>
      <c r="F276" s="95">
        <f t="shared" si="76"/>
        <v>0</v>
      </c>
      <c r="G276" s="95">
        <f t="shared" si="76"/>
        <v>0</v>
      </c>
      <c r="H276" s="95">
        <f t="shared" si="76"/>
        <v>0</v>
      </c>
      <c r="I276" s="95">
        <f t="shared" si="76"/>
        <v>0</v>
      </c>
      <c r="J276" s="95">
        <f t="shared" si="76"/>
        <v>0</v>
      </c>
      <c r="K276" s="76"/>
      <c r="L276" s="76"/>
      <c r="M276" s="76"/>
      <c r="N276" s="76"/>
      <c r="O276" s="76"/>
      <c r="P276" s="76"/>
      <c r="Q276" s="76"/>
      <c r="R276" s="76"/>
      <c r="S276" s="76"/>
      <c r="T276" s="76"/>
      <c r="U276" s="76"/>
      <c r="V276" s="76"/>
      <c r="W276" s="76"/>
    </row>
    <row r="277" spans="1:23">
      <c r="A277" s="96"/>
      <c r="B277" s="96"/>
      <c r="C277" s="96"/>
      <c r="D277" s="76"/>
      <c r="E277" s="76"/>
      <c r="F277" s="76"/>
      <c r="G277" s="76"/>
      <c r="H277" s="76"/>
      <c r="I277" s="76"/>
      <c r="J277" s="76"/>
      <c r="K277" s="76"/>
      <c r="L277" s="76"/>
      <c r="M277" s="76"/>
      <c r="N277" s="76"/>
      <c r="O277" s="76"/>
      <c r="P277" s="76"/>
      <c r="Q277" s="76"/>
      <c r="R277" s="76"/>
      <c r="S277" s="76"/>
      <c r="T277" s="76"/>
      <c r="U277" s="76"/>
      <c r="V277" s="76"/>
      <c r="W277" s="76"/>
    </row>
    <row r="278" spans="1:23">
      <c r="A278" s="76"/>
      <c r="B278" s="76"/>
      <c r="C278" s="76"/>
      <c r="D278" s="76"/>
      <c r="E278" s="76"/>
      <c r="F278" s="76"/>
      <c r="G278" s="76"/>
      <c r="H278" s="76"/>
      <c r="I278" s="76"/>
      <c r="J278" s="76"/>
      <c r="K278" s="76"/>
      <c r="L278" s="76"/>
      <c r="M278" s="76"/>
      <c r="N278" s="76"/>
      <c r="O278" s="76"/>
      <c r="P278" s="76"/>
      <c r="Q278" s="76"/>
      <c r="R278" s="76"/>
      <c r="S278" s="76"/>
      <c r="T278" s="76"/>
      <c r="U278" s="76"/>
      <c r="V278" s="76"/>
      <c r="W278" s="76"/>
    </row>
    <row r="279" spans="1:23">
      <c r="A279" s="364" t="s">
        <v>427</v>
      </c>
      <c r="B279" s="364"/>
      <c r="C279" s="364"/>
      <c r="D279" s="364"/>
      <c r="E279" s="364"/>
      <c r="F279" s="364"/>
      <c r="G279" s="364"/>
      <c r="H279" s="364"/>
      <c r="I279" s="364"/>
      <c r="J279" s="364"/>
    </row>
    <row r="281" spans="1:23">
      <c r="A281" t="s">
        <v>542</v>
      </c>
    </row>
    <row r="282" spans="1:23">
      <c r="A282">
        <v>1</v>
      </c>
      <c r="B282" t="s">
        <v>555</v>
      </c>
    </row>
    <row r="283" spans="1:23">
      <c r="A283">
        <v>2</v>
      </c>
      <c r="B283" t="s">
        <v>556</v>
      </c>
    </row>
    <row r="284" spans="1:23">
      <c r="A284">
        <v>3</v>
      </c>
      <c r="B284" s="76" t="s">
        <v>606</v>
      </c>
    </row>
  </sheetData>
  <mergeCells count="3">
    <mergeCell ref="A122:J122"/>
    <mergeCell ref="A2:I2"/>
    <mergeCell ref="A279:J279"/>
  </mergeCells>
  <pageMargins left="0.7" right="0.7" top="0.75" bottom="0.75" header="0.3" footer="0.3"/>
  <pageSetup scale="74"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zoomScaleSheetLayoutView="100" workbookViewId="0"/>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62" t="s">
        <v>601</v>
      </c>
      <c r="B3" s="362"/>
      <c r="C3" s="362"/>
      <c r="D3" s="362"/>
      <c r="E3" s="362"/>
      <c r="F3" s="362"/>
      <c r="G3" s="362"/>
      <c r="H3" s="362"/>
    </row>
    <row r="4" spans="1:8" ht="18.75">
      <c r="A4" s="362" t="s">
        <v>602</v>
      </c>
      <c r="B4" s="362"/>
      <c r="C4" s="362"/>
      <c r="D4" s="362"/>
      <c r="E4" s="362"/>
      <c r="F4" s="362"/>
      <c r="G4" s="362"/>
      <c r="H4" s="362"/>
    </row>
    <row r="5" spans="1:8">
      <c r="A5" s="76" t="s">
        <v>161</v>
      </c>
      <c r="B5" s="218">
        <v>1</v>
      </c>
      <c r="C5" s="76" t="s">
        <v>475</v>
      </c>
      <c r="D5" s="76"/>
      <c r="E5" s="76"/>
      <c r="F5" s="76"/>
      <c r="G5" s="76"/>
      <c r="H5" s="76"/>
    </row>
    <row r="6" spans="1:8">
      <c r="A6" s="76" t="s">
        <v>162</v>
      </c>
      <c r="B6" s="247">
        <v>8</v>
      </c>
      <c r="C6" s="76"/>
      <c r="D6" s="76"/>
      <c r="E6" s="76"/>
      <c r="F6" s="76"/>
      <c r="G6" s="76"/>
      <c r="H6" s="76"/>
    </row>
    <row r="7" spans="1:8">
      <c r="A7" s="76"/>
      <c r="B7" s="247"/>
      <c r="C7" s="76"/>
      <c r="D7" s="76"/>
      <c r="E7" s="76"/>
      <c r="F7" s="76"/>
      <c r="G7" s="76"/>
      <c r="H7" s="76"/>
    </row>
    <row r="8" spans="1:8">
      <c r="A8" s="76"/>
      <c r="B8" s="247"/>
      <c r="C8" s="76"/>
      <c r="D8" s="76"/>
      <c r="E8" s="76"/>
      <c r="F8" s="76"/>
      <c r="G8" s="76"/>
      <c r="H8" s="76"/>
    </row>
    <row r="9" spans="1:8">
      <c r="A9" s="76"/>
      <c r="B9" s="76"/>
      <c r="C9" s="76"/>
      <c r="D9" s="76"/>
      <c r="E9" s="76"/>
      <c r="F9" s="76"/>
      <c r="G9" s="76"/>
      <c r="H9" s="76"/>
    </row>
    <row r="10" spans="1:8">
      <c r="A10" s="76"/>
      <c r="B10" s="76"/>
      <c r="C10" s="76"/>
      <c r="D10" s="76"/>
      <c r="E10" s="76"/>
      <c r="F10" s="76"/>
      <c r="G10" s="76"/>
      <c r="H10" s="76"/>
    </row>
    <row r="11" spans="1:8">
      <c r="A11" s="67" t="s">
        <v>0</v>
      </c>
      <c r="B11" s="68" t="s">
        <v>2</v>
      </c>
      <c r="C11" s="68" t="s">
        <v>3</v>
      </c>
      <c r="D11" s="68" t="s">
        <v>4</v>
      </c>
      <c r="E11" s="68" t="s">
        <v>5</v>
      </c>
      <c r="F11" s="68" t="s">
        <v>6</v>
      </c>
      <c r="G11" s="68" t="s">
        <v>169</v>
      </c>
      <c r="H11" s="68" t="s">
        <v>168</v>
      </c>
    </row>
    <row r="12" spans="1:8">
      <c r="A12" s="77" t="s">
        <v>170</v>
      </c>
      <c r="B12" s="272">
        <f t="shared" ref="B12:H12" si="0">B39/($B$5*$B$6)</f>
        <v>0</v>
      </c>
      <c r="C12" s="272">
        <f t="shared" si="0"/>
        <v>0</v>
      </c>
      <c r="D12" s="272">
        <f t="shared" si="0"/>
        <v>0</v>
      </c>
      <c r="E12" s="272">
        <f t="shared" si="0"/>
        <v>0</v>
      </c>
      <c r="F12" s="272">
        <f t="shared" si="0"/>
        <v>0</v>
      </c>
      <c r="G12" s="272">
        <f t="shared" si="0"/>
        <v>0</v>
      </c>
      <c r="H12" s="272">
        <f t="shared" si="0"/>
        <v>0</v>
      </c>
    </row>
    <row r="13" spans="1:8">
      <c r="A13" s="77" t="str">
        <f>'11.F&amp;V Crop Production details'!A74</f>
        <v>Onion</v>
      </c>
      <c r="B13" s="77">
        <f>'11.F&amp;V Crop Production details'!B74</f>
        <v>0</v>
      </c>
      <c r="C13" s="77">
        <f>'11.F&amp;V Crop Production details'!C74</f>
        <v>0</v>
      </c>
      <c r="D13" s="77">
        <f>'11.F&amp;V Crop Production details'!D74</f>
        <v>0</v>
      </c>
      <c r="E13" s="77">
        <f>'11.F&amp;V Crop Production details'!E74</f>
        <v>0</v>
      </c>
      <c r="F13" s="77">
        <f>'11.F&amp;V Crop Production details'!F74</f>
        <v>0</v>
      </c>
      <c r="G13" s="77">
        <f>'11.F&amp;V Crop Production details'!G74</f>
        <v>0</v>
      </c>
      <c r="H13" s="77">
        <f>'11.F&amp;V Crop Production details'!H74</f>
        <v>0</v>
      </c>
    </row>
    <row r="14" spans="1:8">
      <c r="A14" s="77" t="str">
        <f>'11.F&amp;V Crop Production details'!A75</f>
        <v>Tomato</v>
      </c>
      <c r="B14" s="77">
        <f>'11.F&amp;V Crop Production details'!B75</f>
        <v>0</v>
      </c>
      <c r="C14" s="77">
        <f>'11.F&amp;V Crop Production details'!C75</f>
        <v>0</v>
      </c>
      <c r="D14" s="77">
        <f>'11.F&amp;V Crop Production details'!D75</f>
        <v>0</v>
      </c>
      <c r="E14" s="77">
        <f>'11.F&amp;V Crop Production details'!E75</f>
        <v>0</v>
      </c>
      <c r="F14" s="77">
        <f>'11.F&amp;V Crop Production details'!F75</f>
        <v>0</v>
      </c>
      <c r="G14" s="77">
        <f>'11.F&amp;V Crop Production details'!G75</f>
        <v>0</v>
      </c>
      <c r="H14" s="77">
        <f>'11.F&amp;V Crop Production details'!H75</f>
        <v>0</v>
      </c>
    </row>
    <row r="15" spans="1:8">
      <c r="A15" s="77" t="str">
        <f>'11.F&amp;V Crop Production details'!A76</f>
        <v>Okra</v>
      </c>
      <c r="B15" s="77">
        <f>'11.F&amp;V Crop Production details'!B76</f>
        <v>0</v>
      </c>
      <c r="C15" s="77">
        <f>'11.F&amp;V Crop Production details'!C76</f>
        <v>0</v>
      </c>
      <c r="D15" s="77">
        <f>'11.F&amp;V Crop Production details'!D76</f>
        <v>0</v>
      </c>
      <c r="E15" s="77">
        <f>'11.F&amp;V Crop Production details'!E76</f>
        <v>0</v>
      </c>
      <c r="F15" s="77">
        <f>'11.F&amp;V Crop Production details'!F76</f>
        <v>0</v>
      </c>
      <c r="G15" s="77">
        <f>'11.F&amp;V Crop Production details'!G76</f>
        <v>0</v>
      </c>
      <c r="H15" s="77">
        <f>'11.F&amp;V Crop Production details'!H76</f>
        <v>0</v>
      </c>
    </row>
    <row r="16" spans="1:8">
      <c r="A16" s="77" t="str">
        <f>'11.F&amp;V Crop Production details'!A77</f>
        <v>Chilli</v>
      </c>
      <c r="B16" s="77">
        <f>'11.F&amp;V Crop Production details'!B77</f>
        <v>0</v>
      </c>
      <c r="C16" s="77">
        <f>'11.F&amp;V Crop Production details'!C77</f>
        <v>0</v>
      </c>
      <c r="D16" s="77">
        <f>'11.F&amp;V Crop Production details'!D77</f>
        <v>0</v>
      </c>
      <c r="E16" s="77">
        <f>'11.F&amp;V Crop Production details'!E77</f>
        <v>0</v>
      </c>
      <c r="F16" s="77">
        <f>'11.F&amp;V Crop Production details'!F77</f>
        <v>0</v>
      </c>
      <c r="G16" s="77">
        <f>'11.F&amp;V Crop Production details'!G77</f>
        <v>0</v>
      </c>
      <c r="H16" s="77">
        <f>'11.F&amp;V Crop Production details'!H77</f>
        <v>0</v>
      </c>
    </row>
    <row r="17" spans="1:8">
      <c r="A17" s="77" t="str">
        <f>'11.F&amp;V Crop Production details'!A78</f>
        <v>Potato</v>
      </c>
      <c r="B17" s="77">
        <f>'11.F&amp;V Crop Production details'!B78</f>
        <v>0</v>
      </c>
      <c r="C17" s="77">
        <f>'11.F&amp;V Crop Production details'!C78</f>
        <v>0</v>
      </c>
      <c r="D17" s="77">
        <f>'11.F&amp;V Crop Production details'!D78</f>
        <v>0</v>
      </c>
      <c r="E17" s="77">
        <f>'11.F&amp;V Crop Production details'!E78</f>
        <v>0</v>
      </c>
      <c r="F17" s="77">
        <f>'11.F&amp;V Crop Production details'!F78</f>
        <v>0</v>
      </c>
      <c r="G17" s="77">
        <f>'11.F&amp;V Crop Production details'!G78</f>
        <v>0</v>
      </c>
      <c r="H17" s="77">
        <f>'11.F&amp;V Crop Production details'!H78</f>
        <v>0</v>
      </c>
    </row>
    <row r="18" spans="1:8">
      <c r="A18" s="77">
        <f>'11.F&amp;V Crop Production details'!A79</f>
        <v>0</v>
      </c>
      <c r="B18" s="77">
        <f>'11.F&amp;V Crop Production details'!B79</f>
        <v>0</v>
      </c>
      <c r="C18" s="77">
        <f>'11.F&amp;V Crop Production details'!C79</f>
        <v>0</v>
      </c>
      <c r="D18" s="77">
        <f>'11.F&amp;V Crop Production details'!D79</f>
        <v>0</v>
      </c>
      <c r="E18" s="77">
        <f>'11.F&amp;V Crop Production details'!E79</f>
        <v>0</v>
      </c>
      <c r="F18" s="77">
        <f>'11.F&amp;V Crop Production details'!F79</f>
        <v>0</v>
      </c>
      <c r="G18" s="77">
        <f>'11.F&amp;V Crop Production details'!G79</f>
        <v>0</v>
      </c>
      <c r="H18" s="77">
        <f>'11.F&amp;V Crop Production details'!H79</f>
        <v>0</v>
      </c>
    </row>
    <row r="19" spans="1:8">
      <c r="A19" s="77">
        <f>'11.F&amp;V Crop Production details'!A80</f>
        <v>0</v>
      </c>
      <c r="B19" s="77">
        <f>'11.F&amp;V Crop Production details'!B80</f>
        <v>0</v>
      </c>
      <c r="C19" s="77">
        <f>'11.F&amp;V Crop Production details'!C80</f>
        <v>0</v>
      </c>
      <c r="D19" s="77">
        <f>'11.F&amp;V Crop Production details'!D80</f>
        <v>0</v>
      </c>
      <c r="E19" s="77">
        <f>'11.F&amp;V Crop Production details'!E80</f>
        <v>0</v>
      </c>
      <c r="F19" s="77">
        <f>'11.F&amp;V Crop Production details'!F80</f>
        <v>0</v>
      </c>
      <c r="G19" s="77">
        <f>'11.F&amp;V Crop Production details'!G80</f>
        <v>0</v>
      </c>
      <c r="H19" s="77">
        <f>'11.F&amp;V Crop Production details'!H80</f>
        <v>0</v>
      </c>
    </row>
    <row r="20" spans="1:8">
      <c r="A20" s="77">
        <f>'11.F&amp;V Crop Production details'!A81</f>
        <v>0</v>
      </c>
      <c r="B20" s="77">
        <f>'11.F&amp;V Crop Production details'!B81</f>
        <v>0</v>
      </c>
      <c r="C20" s="77">
        <f>'11.F&amp;V Crop Production details'!C81</f>
        <v>0</v>
      </c>
      <c r="D20" s="77">
        <f>'11.F&amp;V Crop Production details'!D81</f>
        <v>0</v>
      </c>
      <c r="E20" s="77">
        <f>'11.F&amp;V Crop Production details'!E81</f>
        <v>0</v>
      </c>
      <c r="F20" s="77">
        <f>'11.F&amp;V Crop Production details'!F81</f>
        <v>0</v>
      </c>
      <c r="G20" s="77">
        <f>'11.F&amp;V Crop Production details'!G81</f>
        <v>0</v>
      </c>
      <c r="H20" s="77">
        <f>'11.F&amp;V Crop Production details'!H81</f>
        <v>0</v>
      </c>
    </row>
    <row r="21" spans="1:8">
      <c r="A21" s="77">
        <f>'11.F&amp;V Crop Production details'!A82</f>
        <v>0</v>
      </c>
      <c r="B21" s="77">
        <f>'11.F&amp;V Crop Production details'!B82</f>
        <v>0</v>
      </c>
      <c r="C21" s="77">
        <f>'11.F&amp;V Crop Production details'!C82</f>
        <v>0</v>
      </c>
      <c r="D21" s="77">
        <f>'11.F&amp;V Crop Production details'!D82</f>
        <v>0</v>
      </c>
      <c r="E21" s="77">
        <f>'11.F&amp;V Crop Production details'!E82</f>
        <v>0</v>
      </c>
      <c r="F21" s="77">
        <f>'11.F&amp;V Crop Production details'!F82</f>
        <v>0</v>
      </c>
      <c r="G21" s="77">
        <f>'11.F&amp;V Crop Production details'!G82</f>
        <v>0</v>
      </c>
      <c r="H21" s="77">
        <f>'11.F&amp;V Crop Production details'!H82</f>
        <v>0</v>
      </c>
    </row>
    <row r="22" spans="1:8">
      <c r="A22" s="77" t="str">
        <f>'11.F&amp;V Crop Production details'!A83</f>
        <v>Onion</v>
      </c>
      <c r="B22" s="77">
        <f>'11.F&amp;V Crop Production details'!B83</f>
        <v>0</v>
      </c>
      <c r="C22" s="77">
        <f>'11.F&amp;V Crop Production details'!C83</f>
        <v>0</v>
      </c>
      <c r="D22" s="77">
        <f>'11.F&amp;V Crop Production details'!D83</f>
        <v>0</v>
      </c>
      <c r="E22" s="77">
        <f>'11.F&amp;V Crop Production details'!E83</f>
        <v>0</v>
      </c>
      <c r="F22" s="77">
        <f>'11.F&amp;V Crop Production details'!F83</f>
        <v>0</v>
      </c>
      <c r="G22" s="77">
        <f>'11.F&amp;V Crop Production details'!G83</f>
        <v>0</v>
      </c>
      <c r="H22" s="77">
        <f>'11.F&amp;V Crop Production details'!H83</f>
        <v>0</v>
      </c>
    </row>
    <row r="23" spans="1:8">
      <c r="A23" s="77" t="str">
        <f>'11.F&amp;V Crop Production details'!A84</f>
        <v>Tomato</v>
      </c>
      <c r="B23" s="77">
        <f>'11.F&amp;V Crop Production details'!B84</f>
        <v>0</v>
      </c>
      <c r="C23" s="77">
        <f>'11.F&amp;V Crop Production details'!C84</f>
        <v>0</v>
      </c>
      <c r="D23" s="77">
        <f>'11.F&amp;V Crop Production details'!D84</f>
        <v>0</v>
      </c>
      <c r="E23" s="77">
        <f>'11.F&amp;V Crop Production details'!E84</f>
        <v>0</v>
      </c>
      <c r="F23" s="77">
        <f>'11.F&amp;V Crop Production details'!F84</f>
        <v>0</v>
      </c>
      <c r="G23" s="77">
        <f>'11.F&amp;V Crop Production details'!G84</f>
        <v>0</v>
      </c>
      <c r="H23" s="77">
        <f>'11.F&amp;V Crop Production details'!H84</f>
        <v>0</v>
      </c>
    </row>
    <row r="24" spans="1:8">
      <c r="A24" s="77" t="str">
        <f>'11.F&amp;V Crop Production details'!A85</f>
        <v>Okra</v>
      </c>
      <c r="B24" s="77">
        <f>'11.F&amp;V Crop Production details'!B85</f>
        <v>0</v>
      </c>
      <c r="C24" s="77">
        <f>'11.F&amp;V Crop Production details'!C85</f>
        <v>0</v>
      </c>
      <c r="D24" s="77">
        <f>'11.F&amp;V Crop Production details'!D85</f>
        <v>0</v>
      </c>
      <c r="E24" s="77">
        <f>'11.F&amp;V Crop Production details'!E85</f>
        <v>0</v>
      </c>
      <c r="F24" s="77">
        <f>'11.F&amp;V Crop Production details'!F85</f>
        <v>0</v>
      </c>
      <c r="G24" s="77">
        <f>'11.F&amp;V Crop Production details'!G85</f>
        <v>0</v>
      </c>
      <c r="H24" s="77">
        <f>'11.F&amp;V Crop Production details'!H85</f>
        <v>0</v>
      </c>
    </row>
    <row r="25" spans="1:8">
      <c r="A25" s="77" t="str">
        <f>'11.F&amp;V Crop Production details'!A86</f>
        <v>Chilli</v>
      </c>
      <c r="B25" s="77">
        <f>'11.F&amp;V Crop Production details'!B86</f>
        <v>0</v>
      </c>
      <c r="C25" s="77">
        <f>'11.F&amp;V Crop Production details'!C86</f>
        <v>0</v>
      </c>
      <c r="D25" s="77">
        <f>'11.F&amp;V Crop Production details'!D86</f>
        <v>0</v>
      </c>
      <c r="E25" s="77">
        <f>'11.F&amp;V Crop Production details'!E86</f>
        <v>0</v>
      </c>
      <c r="F25" s="77">
        <f>'11.F&amp;V Crop Production details'!F86</f>
        <v>0</v>
      </c>
      <c r="G25" s="77">
        <f>'11.F&amp;V Crop Production details'!G86</f>
        <v>0</v>
      </c>
      <c r="H25" s="77">
        <f>'11.F&amp;V Crop Production details'!H86</f>
        <v>0</v>
      </c>
    </row>
    <row r="26" spans="1:8">
      <c r="A26" s="77" t="str">
        <f>'11.F&amp;V Crop Production details'!A87</f>
        <v>Brinjal</v>
      </c>
      <c r="B26" s="77">
        <f>'11.F&amp;V Crop Production details'!B87</f>
        <v>0</v>
      </c>
      <c r="C26" s="77">
        <f>'11.F&amp;V Crop Production details'!C87</f>
        <v>0</v>
      </c>
      <c r="D26" s="77">
        <f>'11.F&amp;V Crop Production details'!D87</f>
        <v>0</v>
      </c>
      <c r="E26" s="77">
        <f>'11.F&amp;V Crop Production details'!E87</f>
        <v>0</v>
      </c>
      <c r="F26" s="77">
        <f>'11.F&amp;V Crop Production details'!F87</f>
        <v>0</v>
      </c>
      <c r="G26" s="77">
        <f>'11.F&amp;V Crop Production details'!G87</f>
        <v>0</v>
      </c>
      <c r="H26" s="77">
        <f>'11.F&amp;V Crop Production details'!H87</f>
        <v>0</v>
      </c>
    </row>
    <row r="27" spans="1:8">
      <c r="A27" s="77">
        <f>'11.F&amp;V Crop Production details'!A88</f>
        <v>0</v>
      </c>
      <c r="B27" s="77">
        <f>'11.F&amp;V Crop Production details'!B88</f>
        <v>0</v>
      </c>
      <c r="C27" s="77">
        <f>'11.F&amp;V Crop Production details'!C88</f>
        <v>0</v>
      </c>
      <c r="D27" s="77">
        <f>'11.F&amp;V Crop Production details'!D88</f>
        <v>0</v>
      </c>
      <c r="E27" s="77">
        <f>'11.F&amp;V Crop Production details'!E88</f>
        <v>0</v>
      </c>
      <c r="F27" s="77">
        <f>'11.F&amp;V Crop Production details'!F88</f>
        <v>0</v>
      </c>
      <c r="G27" s="77">
        <f>'11.F&amp;V Crop Production details'!G88</f>
        <v>0</v>
      </c>
      <c r="H27" s="77">
        <f>'11.F&amp;V Crop Production details'!H88</f>
        <v>0</v>
      </c>
    </row>
    <row r="28" spans="1:8">
      <c r="A28" s="77">
        <f>'11.F&amp;V Crop Production details'!A89</f>
        <v>0</v>
      </c>
      <c r="B28" s="77">
        <f>'11.F&amp;V Crop Production details'!B89</f>
        <v>0</v>
      </c>
      <c r="C28" s="77">
        <f>'11.F&amp;V Crop Production details'!C89</f>
        <v>0</v>
      </c>
      <c r="D28" s="77">
        <f>'11.F&amp;V Crop Production details'!D89</f>
        <v>0</v>
      </c>
      <c r="E28" s="77">
        <f>'11.F&amp;V Crop Production details'!E89</f>
        <v>0</v>
      </c>
      <c r="F28" s="77">
        <f>'11.F&amp;V Crop Production details'!F89</f>
        <v>0</v>
      </c>
      <c r="G28" s="77">
        <f>'11.F&amp;V Crop Production details'!G89</f>
        <v>0</v>
      </c>
      <c r="H28" s="77">
        <f>'11.F&amp;V Crop Production details'!H89</f>
        <v>0</v>
      </c>
    </row>
    <row r="29" spans="1:8">
      <c r="A29" s="77">
        <f>'11.F&amp;V Crop Production details'!A90</f>
        <v>0</v>
      </c>
      <c r="B29" s="77">
        <f>'11.F&amp;V Crop Production details'!B90</f>
        <v>0</v>
      </c>
      <c r="C29" s="77">
        <f>'11.F&amp;V Crop Production details'!C90</f>
        <v>0</v>
      </c>
      <c r="D29" s="77">
        <f>'11.F&amp;V Crop Production details'!D90</f>
        <v>0</v>
      </c>
      <c r="E29" s="77">
        <f>'11.F&amp;V Crop Production details'!E90</f>
        <v>0</v>
      </c>
      <c r="F29" s="77">
        <f>'11.F&amp;V Crop Production details'!F90</f>
        <v>0</v>
      </c>
      <c r="G29" s="77">
        <f>'11.F&amp;V Crop Production details'!G90</f>
        <v>0</v>
      </c>
      <c r="H29" s="77">
        <f>'11.F&amp;V Crop Production details'!H90</f>
        <v>0</v>
      </c>
    </row>
    <row r="30" spans="1:8">
      <c r="A30" s="77">
        <f>'11.F&amp;V Crop Production details'!A91</f>
        <v>0</v>
      </c>
      <c r="B30" s="77">
        <f>'11.F&amp;V Crop Production details'!B91</f>
        <v>0</v>
      </c>
      <c r="C30" s="77">
        <f>'11.F&amp;V Crop Production details'!C91</f>
        <v>0</v>
      </c>
      <c r="D30" s="77">
        <f>'11.F&amp;V Crop Production details'!D91</f>
        <v>0</v>
      </c>
      <c r="E30" s="77">
        <f>'11.F&amp;V Crop Production details'!E91</f>
        <v>0</v>
      </c>
      <c r="F30" s="77">
        <f>'11.F&amp;V Crop Production details'!F91</f>
        <v>0</v>
      </c>
      <c r="G30" s="77">
        <f>'11.F&amp;V Crop Production details'!G91</f>
        <v>0</v>
      </c>
      <c r="H30" s="77">
        <f>'11.F&amp;V Crop Production details'!H91</f>
        <v>0</v>
      </c>
    </row>
    <row r="31" spans="1:8">
      <c r="A31" s="77">
        <f>'11.F&amp;V Crop Production details'!A92</f>
        <v>0</v>
      </c>
      <c r="B31" s="77">
        <f>'11.F&amp;V Crop Production details'!B92</f>
        <v>0</v>
      </c>
      <c r="C31" s="77">
        <f>'11.F&amp;V Crop Production details'!C92</f>
        <v>0</v>
      </c>
      <c r="D31" s="77">
        <f>'11.F&amp;V Crop Production details'!D92</f>
        <v>0</v>
      </c>
      <c r="E31" s="77">
        <f>'11.F&amp;V Crop Production details'!E92</f>
        <v>0</v>
      </c>
      <c r="F31" s="77">
        <f>'11.F&amp;V Crop Production details'!F92</f>
        <v>0</v>
      </c>
      <c r="G31" s="77">
        <f>'11.F&amp;V Crop Production details'!G92</f>
        <v>0</v>
      </c>
      <c r="H31" s="77">
        <f>'11.F&amp;V Crop Production details'!H92</f>
        <v>0</v>
      </c>
    </row>
    <row r="32" spans="1:8">
      <c r="A32" s="77">
        <f>'11.F&amp;V Crop Production details'!A93</f>
        <v>0</v>
      </c>
      <c r="B32" s="77">
        <f>'11.F&amp;V Crop Production details'!B93</f>
        <v>0</v>
      </c>
      <c r="C32" s="77">
        <f>'11.F&amp;V Crop Production details'!C93</f>
        <v>0</v>
      </c>
      <c r="D32" s="77">
        <f>'11.F&amp;V Crop Production details'!D93</f>
        <v>0</v>
      </c>
      <c r="E32" s="77">
        <f>'11.F&amp;V Crop Production details'!E93</f>
        <v>0</v>
      </c>
      <c r="F32" s="77">
        <f>'11.F&amp;V Crop Production details'!F93</f>
        <v>0</v>
      </c>
      <c r="G32" s="77">
        <f>'11.F&amp;V Crop Production details'!G93</f>
        <v>0</v>
      </c>
      <c r="H32" s="77">
        <f>'11.F&amp;V Crop Production details'!H93</f>
        <v>0</v>
      </c>
    </row>
    <row r="33" spans="1:8">
      <c r="A33" s="77">
        <f>'11.F&amp;V Crop Production details'!A94</f>
        <v>0</v>
      </c>
      <c r="B33" s="77">
        <f>'11.F&amp;V Crop Production details'!B94</f>
        <v>0</v>
      </c>
      <c r="C33" s="77">
        <f>'11.F&amp;V Crop Production details'!C94</f>
        <v>0</v>
      </c>
      <c r="D33" s="77">
        <f>'11.F&amp;V Crop Production details'!D94</f>
        <v>0</v>
      </c>
      <c r="E33" s="77">
        <f>'11.F&amp;V Crop Production details'!E94</f>
        <v>0</v>
      </c>
      <c r="F33" s="77">
        <f>'11.F&amp;V Crop Production details'!F94</f>
        <v>0</v>
      </c>
      <c r="G33" s="77">
        <f>'11.F&amp;V Crop Production details'!G94</f>
        <v>0</v>
      </c>
      <c r="H33" s="77">
        <f>'11.F&amp;V Crop Production details'!H94</f>
        <v>0</v>
      </c>
    </row>
    <row r="34" spans="1:8">
      <c r="A34" s="77" t="str">
        <f>'11.F&amp;V Crop Production details'!A95</f>
        <v>Pomegranate</v>
      </c>
      <c r="B34" s="77">
        <f>'11.F&amp;V Crop Production details'!B95</f>
        <v>0</v>
      </c>
      <c r="C34" s="77">
        <f>'11.F&amp;V Crop Production details'!C95</f>
        <v>0</v>
      </c>
      <c r="D34" s="77">
        <f>'11.F&amp;V Crop Production details'!D95</f>
        <v>0</v>
      </c>
      <c r="E34" s="77">
        <f>'11.F&amp;V Crop Production details'!E95</f>
        <v>0</v>
      </c>
      <c r="F34" s="77">
        <f>'11.F&amp;V Crop Production details'!F95</f>
        <v>0</v>
      </c>
      <c r="G34" s="77">
        <f>'11.F&amp;V Crop Production details'!G95</f>
        <v>0</v>
      </c>
      <c r="H34" s="77">
        <f>'11.F&amp;V Crop Production details'!H95</f>
        <v>0</v>
      </c>
    </row>
    <row r="35" spans="1:8">
      <c r="A35" s="77" t="str">
        <f>'11.F&amp;V Crop Production details'!A96</f>
        <v>Custard Apple</v>
      </c>
      <c r="B35" s="77">
        <f>'11.F&amp;V Crop Production details'!B96</f>
        <v>0</v>
      </c>
      <c r="C35" s="77">
        <f>'11.F&amp;V Crop Production details'!C96</f>
        <v>0</v>
      </c>
      <c r="D35" s="77">
        <f>'11.F&amp;V Crop Production details'!D96</f>
        <v>0</v>
      </c>
      <c r="E35" s="77">
        <f>'11.F&amp;V Crop Production details'!E96</f>
        <v>0</v>
      </c>
      <c r="F35" s="77">
        <f>'11.F&amp;V Crop Production details'!F96</f>
        <v>0</v>
      </c>
      <c r="G35" s="77">
        <f>'11.F&amp;V Crop Production details'!G96</f>
        <v>0</v>
      </c>
      <c r="H35" s="77">
        <f>'11.F&amp;V Crop Production details'!H96</f>
        <v>0</v>
      </c>
    </row>
    <row r="36" spans="1:8">
      <c r="A36" s="77" t="str">
        <f>'11.F&amp;V Crop Production details'!A97</f>
        <v>Guava</v>
      </c>
      <c r="B36" s="77">
        <f>'11.F&amp;V Crop Production details'!B97</f>
        <v>0</v>
      </c>
      <c r="C36" s="77">
        <f>'11.F&amp;V Crop Production details'!C97</f>
        <v>0</v>
      </c>
      <c r="D36" s="77">
        <f>'11.F&amp;V Crop Production details'!D97</f>
        <v>0</v>
      </c>
      <c r="E36" s="77">
        <f>'11.F&amp;V Crop Production details'!E97</f>
        <v>0</v>
      </c>
      <c r="F36" s="77">
        <f>'11.F&amp;V Crop Production details'!F97</f>
        <v>0</v>
      </c>
      <c r="G36" s="77">
        <f>'11.F&amp;V Crop Production details'!G97</f>
        <v>0</v>
      </c>
      <c r="H36" s="77">
        <f>'11.F&amp;V Crop Production details'!H97</f>
        <v>0</v>
      </c>
    </row>
    <row r="37" spans="1:8">
      <c r="A37" s="77" t="str">
        <f>'11.F&amp;V Crop Production details'!A98</f>
        <v>Citrus</v>
      </c>
      <c r="B37" s="77">
        <f>'11.F&amp;V Crop Production details'!B98</f>
        <v>0</v>
      </c>
      <c r="C37" s="77">
        <f>'11.F&amp;V Crop Production details'!C98</f>
        <v>0</v>
      </c>
      <c r="D37" s="77">
        <f>'11.F&amp;V Crop Production details'!D98</f>
        <v>0</v>
      </c>
      <c r="E37" s="77">
        <f>'11.F&amp;V Crop Production details'!E98</f>
        <v>0</v>
      </c>
      <c r="F37" s="77">
        <f>'11.F&amp;V Crop Production details'!F98</f>
        <v>0</v>
      </c>
      <c r="G37" s="77">
        <f>'11.F&amp;V Crop Production details'!G98</f>
        <v>0</v>
      </c>
      <c r="H37" s="77">
        <f>'11.F&amp;V Crop Production details'!H98</f>
        <v>0</v>
      </c>
    </row>
    <row r="38" spans="1:8">
      <c r="A38" s="77"/>
      <c r="B38" s="77"/>
      <c r="C38" s="77"/>
      <c r="D38" s="77"/>
      <c r="E38" s="77"/>
      <c r="F38" s="77"/>
      <c r="G38" s="77"/>
      <c r="H38" s="77"/>
    </row>
    <row r="39" spans="1:8">
      <c r="A39" s="77" t="s">
        <v>467</v>
      </c>
      <c r="B39" s="77">
        <f>SUM(B13:B37)</f>
        <v>0</v>
      </c>
      <c r="C39" s="77">
        <f t="shared" ref="C39:H39" si="1">SUM(C13:C37)</f>
        <v>0</v>
      </c>
      <c r="D39" s="77">
        <f t="shared" si="1"/>
        <v>0</v>
      </c>
      <c r="E39" s="77">
        <f t="shared" si="1"/>
        <v>0</v>
      </c>
      <c r="F39" s="77">
        <f t="shared" si="1"/>
        <v>0</v>
      </c>
      <c r="G39" s="77">
        <f t="shared" si="1"/>
        <v>0</v>
      </c>
      <c r="H39" s="77">
        <f t="shared" si="1"/>
        <v>0</v>
      </c>
    </row>
    <row r="40" spans="1:8">
      <c r="A40" s="277" t="s">
        <v>165</v>
      </c>
      <c r="B40" s="248">
        <v>0</v>
      </c>
      <c r="C40" s="248">
        <f>B40</f>
        <v>0</v>
      </c>
      <c r="D40" s="248">
        <f t="shared" ref="D40:H40" si="2">C40</f>
        <v>0</v>
      </c>
      <c r="E40" s="248">
        <f t="shared" si="2"/>
        <v>0</v>
      </c>
      <c r="F40" s="248">
        <f t="shared" si="2"/>
        <v>0</v>
      </c>
      <c r="G40" s="248">
        <f t="shared" si="2"/>
        <v>0</v>
      </c>
      <c r="H40" s="248">
        <f t="shared" si="2"/>
        <v>0</v>
      </c>
    </row>
    <row r="41" spans="1:8">
      <c r="A41" s="77" t="s">
        <v>476</v>
      </c>
      <c r="B41" s="164">
        <f>1-B40</f>
        <v>1</v>
      </c>
      <c r="C41" s="164">
        <f t="shared" ref="C41:H41" si="3">1-C40</f>
        <v>1</v>
      </c>
      <c r="D41" s="164">
        <f t="shared" si="3"/>
        <v>1</v>
      </c>
      <c r="E41" s="164">
        <f t="shared" si="3"/>
        <v>1</v>
      </c>
      <c r="F41" s="164">
        <f t="shared" si="3"/>
        <v>1</v>
      </c>
      <c r="G41" s="164">
        <f t="shared" si="3"/>
        <v>1</v>
      </c>
      <c r="H41" s="164">
        <f t="shared" si="3"/>
        <v>1</v>
      </c>
    </row>
    <row r="42" spans="1:8">
      <c r="A42" s="79" t="s">
        <v>165</v>
      </c>
      <c r="B42" s="229">
        <f>B39*B40</f>
        <v>0</v>
      </c>
      <c r="C42" s="229">
        <f t="shared" ref="C42:H42" si="4">C39*C40</f>
        <v>0</v>
      </c>
      <c r="D42" s="229">
        <f t="shared" si="4"/>
        <v>0</v>
      </c>
      <c r="E42" s="229">
        <f t="shared" si="4"/>
        <v>0</v>
      </c>
      <c r="F42" s="229">
        <f t="shared" si="4"/>
        <v>0</v>
      </c>
      <c r="G42" s="229">
        <f t="shared" si="4"/>
        <v>0</v>
      </c>
      <c r="H42" s="229">
        <f t="shared" si="4"/>
        <v>0</v>
      </c>
    </row>
    <row r="43" spans="1:8">
      <c r="A43" s="79" t="s">
        <v>166</v>
      </c>
      <c r="B43" s="95"/>
      <c r="C43" s="95"/>
      <c r="D43" s="95"/>
      <c r="E43" s="95"/>
      <c r="F43" s="95"/>
      <c r="G43" s="95"/>
      <c r="H43" s="95"/>
    </row>
    <row r="44" spans="1:8">
      <c r="A44" s="77" t="str">
        <f t="shared" ref="A44:A61" si="5">A13</f>
        <v>Onion</v>
      </c>
      <c r="B44" s="78">
        <f t="shared" ref="B44:B61" si="6">B13*$B$41</f>
        <v>0</v>
      </c>
      <c r="C44" s="78">
        <f t="shared" ref="C44:C61" si="7">C13*$C$41</f>
        <v>0</v>
      </c>
      <c r="D44" s="78">
        <f t="shared" ref="D44:D61" si="8">D13*$D$41</f>
        <v>0</v>
      </c>
      <c r="E44" s="78">
        <f t="shared" ref="E44:E61" si="9">E13*$E$41</f>
        <v>0</v>
      </c>
      <c r="F44" s="78">
        <f t="shared" ref="F44:F61" si="10">F13*$F$41</f>
        <v>0</v>
      </c>
      <c r="G44" s="78">
        <f t="shared" ref="G44:G61" si="11">G13*$G$41</f>
        <v>0</v>
      </c>
      <c r="H44" s="78">
        <f t="shared" ref="H44:H61" si="12">H13*$H$41</f>
        <v>0</v>
      </c>
    </row>
    <row r="45" spans="1:8">
      <c r="A45" s="77" t="str">
        <f t="shared" si="5"/>
        <v>Tomato</v>
      </c>
      <c r="B45" s="78">
        <f t="shared" si="6"/>
        <v>0</v>
      </c>
      <c r="C45" s="78">
        <f t="shared" si="7"/>
        <v>0</v>
      </c>
      <c r="D45" s="78">
        <f t="shared" si="8"/>
        <v>0</v>
      </c>
      <c r="E45" s="78">
        <f t="shared" si="9"/>
        <v>0</v>
      </c>
      <c r="F45" s="78">
        <f t="shared" si="10"/>
        <v>0</v>
      </c>
      <c r="G45" s="78">
        <f t="shared" si="11"/>
        <v>0</v>
      </c>
      <c r="H45" s="78">
        <f t="shared" si="12"/>
        <v>0</v>
      </c>
    </row>
    <row r="46" spans="1:8">
      <c r="A46" s="77" t="str">
        <f t="shared" si="5"/>
        <v>Okra</v>
      </c>
      <c r="B46" s="78">
        <f t="shared" si="6"/>
        <v>0</v>
      </c>
      <c r="C46" s="78">
        <f t="shared" si="7"/>
        <v>0</v>
      </c>
      <c r="D46" s="78">
        <f t="shared" si="8"/>
        <v>0</v>
      </c>
      <c r="E46" s="78">
        <f t="shared" si="9"/>
        <v>0</v>
      </c>
      <c r="F46" s="78">
        <f t="shared" si="10"/>
        <v>0</v>
      </c>
      <c r="G46" s="78">
        <f t="shared" si="11"/>
        <v>0</v>
      </c>
      <c r="H46" s="78">
        <f t="shared" si="12"/>
        <v>0</v>
      </c>
    </row>
    <row r="47" spans="1:8">
      <c r="A47" s="77" t="str">
        <f t="shared" si="5"/>
        <v>Chilli</v>
      </c>
      <c r="B47" s="78">
        <f t="shared" si="6"/>
        <v>0</v>
      </c>
      <c r="C47" s="78">
        <f t="shared" si="7"/>
        <v>0</v>
      </c>
      <c r="D47" s="78">
        <f t="shared" si="8"/>
        <v>0</v>
      </c>
      <c r="E47" s="78">
        <f t="shared" si="9"/>
        <v>0</v>
      </c>
      <c r="F47" s="78">
        <f t="shared" si="10"/>
        <v>0</v>
      </c>
      <c r="G47" s="78">
        <f t="shared" si="11"/>
        <v>0</v>
      </c>
      <c r="H47" s="78">
        <f t="shared" si="12"/>
        <v>0</v>
      </c>
    </row>
    <row r="48" spans="1:8">
      <c r="A48" s="77" t="str">
        <f t="shared" si="5"/>
        <v>Potato</v>
      </c>
      <c r="B48" s="78">
        <f t="shared" si="6"/>
        <v>0</v>
      </c>
      <c r="C48" s="78">
        <f t="shared" si="7"/>
        <v>0</v>
      </c>
      <c r="D48" s="78">
        <f t="shared" si="8"/>
        <v>0</v>
      </c>
      <c r="E48" s="78">
        <f t="shared" si="9"/>
        <v>0</v>
      </c>
      <c r="F48" s="78">
        <f t="shared" si="10"/>
        <v>0</v>
      </c>
      <c r="G48" s="78">
        <f t="shared" si="11"/>
        <v>0</v>
      </c>
      <c r="H48" s="78">
        <f t="shared" si="12"/>
        <v>0</v>
      </c>
    </row>
    <row r="49" spans="1:8">
      <c r="A49" s="77">
        <f t="shared" si="5"/>
        <v>0</v>
      </c>
      <c r="B49" s="78">
        <f t="shared" si="6"/>
        <v>0</v>
      </c>
      <c r="C49" s="78">
        <f t="shared" si="7"/>
        <v>0</v>
      </c>
      <c r="D49" s="78">
        <f t="shared" si="8"/>
        <v>0</v>
      </c>
      <c r="E49" s="78">
        <f t="shared" si="9"/>
        <v>0</v>
      </c>
      <c r="F49" s="78">
        <f t="shared" si="10"/>
        <v>0</v>
      </c>
      <c r="G49" s="78">
        <f t="shared" si="11"/>
        <v>0</v>
      </c>
      <c r="H49" s="78">
        <f t="shared" si="12"/>
        <v>0</v>
      </c>
    </row>
    <row r="50" spans="1:8">
      <c r="A50" s="77">
        <f t="shared" si="5"/>
        <v>0</v>
      </c>
      <c r="B50" s="78">
        <f t="shared" si="6"/>
        <v>0</v>
      </c>
      <c r="C50" s="78">
        <f t="shared" si="7"/>
        <v>0</v>
      </c>
      <c r="D50" s="78">
        <f t="shared" si="8"/>
        <v>0</v>
      </c>
      <c r="E50" s="78">
        <f t="shared" si="9"/>
        <v>0</v>
      </c>
      <c r="F50" s="78">
        <f t="shared" si="10"/>
        <v>0</v>
      </c>
      <c r="G50" s="78">
        <f t="shared" si="11"/>
        <v>0</v>
      </c>
      <c r="H50" s="78">
        <f t="shared" si="12"/>
        <v>0</v>
      </c>
    </row>
    <row r="51" spans="1:8">
      <c r="A51" s="77">
        <f t="shared" si="5"/>
        <v>0</v>
      </c>
      <c r="B51" s="78">
        <f t="shared" si="6"/>
        <v>0</v>
      </c>
      <c r="C51" s="78">
        <f t="shared" si="7"/>
        <v>0</v>
      </c>
      <c r="D51" s="78">
        <f t="shared" si="8"/>
        <v>0</v>
      </c>
      <c r="E51" s="78">
        <f t="shared" si="9"/>
        <v>0</v>
      </c>
      <c r="F51" s="78">
        <f t="shared" si="10"/>
        <v>0</v>
      </c>
      <c r="G51" s="78">
        <f t="shared" si="11"/>
        <v>0</v>
      </c>
      <c r="H51" s="78">
        <f t="shared" si="12"/>
        <v>0</v>
      </c>
    </row>
    <row r="52" spans="1:8">
      <c r="A52" s="77">
        <f t="shared" si="5"/>
        <v>0</v>
      </c>
      <c r="B52" s="78">
        <f t="shared" si="6"/>
        <v>0</v>
      </c>
      <c r="C52" s="78">
        <f t="shared" si="7"/>
        <v>0</v>
      </c>
      <c r="D52" s="78">
        <f t="shared" si="8"/>
        <v>0</v>
      </c>
      <c r="E52" s="78">
        <f t="shared" si="9"/>
        <v>0</v>
      </c>
      <c r="F52" s="78">
        <f t="shared" si="10"/>
        <v>0</v>
      </c>
      <c r="G52" s="78">
        <f t="shared" si="11"/>
        <v>0</v>
      </c>
      <c r="H52" s="78">
        <f t="shared" si="12"/>
        <v>0</v>
      </c>
    </row>
    <row r="53" spans="1:8">
      <c r="A53" s="77" t="str">
        <f t="shared" si="5"/>
        <v>Onion</v>
      </c>
      <c r="B53" s="78">
        <f t="shared" si="6"/>
        <v>0</v>
      </c>
      <c r="C53" s="78">
        <f t="shared" si="7"/>
        <v>0</v>
      </c>
      <c r="D53" s="78">
        <f t="shared" si="8"/>
        <v>0</v>
      </c>
      <c r="E53" s="78">
        <f t="shared" si="9"/>
        <v>0</v>
      </c>
      <c r="F53" s="78">
        <f t="shared" si="10"/>
        <v>0</v>
      </c>
      <c r="G53" s="78">
        <f t="shared" si="11"/>
        <v>0</v>
      </c>
      <c r="H53" s="78">
        <f t="shared" si="12"/>
        <v>0</v>
      </c>
    </row>
    <row r="54" spans="1:8">
      <c r="A54" s="77" t="str">
        <f t="shared" si="5"/>
        <v>Tomato</v>
      </c>
      <c r="B54" s="78">
        <f t="shared" si="6"/>
        <v>0</v>
      </c>
      <c r="C54" s="78">
        <f t="shared" si="7"/>
        <v>0</v>
      </c>
      <c r="D54" s="78">
        <f t="shared" si="8"/>
        <v>0</v>
      </c>
      <c r="E54" s="78">
        <f t="shared" si="9"/>
        <v>0</v>
      </c>
      <c r="F54" s="78">
        <f t="shared" si="10"/>
        <v>0</v>
      </c>
      <c r="G54" s="78">
        <f t="shared" si="11"/>
        <v>0</v>
      </c>
      <c r="H54" s="78">
        <f t="shared" si="12"/>
        <v>0</v>
      </c>
    </row>
    <row r="55" spans="1:8">
      <c r="A55" s="77" t="str">
        <f t="shared" si="5"/>
        <v>Okra</v>
      </c>
      <c r="B55" s="78">
        <f t="shared" si="6"/>
        <v>0</v>
      </c>
      <c r="C55" s="78">
        <f t="shared" si="7"/>
        <v>0</v>
      </c>
      <c r="D55" s="78">
        <f t="shared" si="8"/>
        <v>0</v>
      </c>
      <c r="E55" s="78">
        <f t="shared" si="9"/>
        <v>0</v>
      </c>
      <c r="F55" s="78">
        <f t="shared" si="10"/>
        <v>0</v>
      </c>
      <c r="G55" s="78">
        <f t="shared" si="11"/>
        <v>0</v>
      </c>
      <c r="H55" s="78">
        <f t="shared" si="12"/>
        <v>0</v>
      </c>
    </row>
    <row r="56" spans="1:8">
      <c r="A56" s="77" t="str">
        <f t="shared" si="5"/>
        <v>Chilli</v>
      </c>
      <c r="B56" s="78">
        <f t="shared" si="6"/>
        <v>0</v>
      </c>
      <c r="C56" s="78">
        <f t="shared" si="7"/>
        <v>0</v>
      </c>
      <c r="D56" s="78">
        <f t="shared" si="8"/>
        <v>0</v>
      </c>
      <c r="E56" s="78">
        <f t="shared" si="9"/>
        <v>0</v>
      </c>
      <c r="F56" s="78">
        <f t="shared" si="10"/>
        <v>0</v>
      </c>
      <c r="G56" s="78">
        <f t="shared" si="11"/>
        <v>0</v>
      </c>
      <c r="H56" s="78">
        <f t="shared" si="12"/>
        <v>0</v>
      </c>
    </row>
    <row r="57" spans="1:8">
      <c r="A57" s="77" t="str">
        <f t="shared" si="5"/>
        <v>Brinjal</v>
      </c>
      <c r="B57" s="78">
        <f t="shared" si="6"/>
        <v>0</v>
      </c>
      <c r="C57" s="78">
        <f t="shared" si="7"/>
        <v>0</v>
      </c>
      <c r="D57" s="78">
        <f t="shared" si="8"/>
        <v>0</v>
      </c>
      <c r="E57" s="78">
        <f t="shared" si="9"/>
        <v>0</v>
      </c>
      <c r="F57" s="78">
        <f t="shared" si="10"/>
        <v>0</v>
      </c>
      <c r="G57" s="78">
        <f t="shared" si="11"/>
        <v>0</v>
      </c>
      <c r="H57" s="78">
        <f t="shared" si="12"/>
        <v>0</v>
      </c>
    </row>
    <row r="58" spans="1:8">
      <c r="A58" s="77">
        <f t="shared" si="5"/>
        <v>0</v>
      </c>
      <c r="B58" s="78">
        <f t="shared" si="6"/>
        <v>0</v>
      </c>
      <c r="C58" s="78">
        <f t="shared" si="7"/>
        <v>0</v>
      </c>
      <c r="D58" s="78">
        <f t="shared" si="8"/>
        <v>0</v>
      </c>
      <c r="E58" s="78">
        <f t="shared" si="9"/>
        <v>0</v>
      </c>
      <c r="F58" s="78">
        <f t="shared" si="10"/>
        <v>0</v>
      </c>
      <c r="G58" s="78">
        <f t="shared" si="11"/>
        <v>0</v>
      </c>
      <c r="H58" s="78">
        <f t="shared" si="12"/>
        <v>0</v>
      </c>
    </row>
    <row r="59" spans="1:8">
      <c r="A59" s="77">
        <f t="shared" si="5"/>
        <v>0</v>
      </c>
      <c r="B59" s="78">
        <f t="shared" si="6"/>
        <v>0</v>
      </c>
      <c r="C59" s="78">
        <f t="shared" si="7"/>
        <v>0</v>
      </c>
      <c r="D59" s="78">
        <f t="shared" si="8"/>
        <v>0</v>
      </c>
      <c r="E59" s="78">
        <f t="shared" si="9"/>
        <v>0</v>
      </c>
      <c r="F59" s="78">
        <f t="shared" si="10"/>
        <v>0</v>
      </c>
      <c r="G59" s="78">
        <f t="shared" si="11"/>
        <v>0</v>
      </c>
      <c r="H59" s="78">
        <f t="shared" si="12"/>
        <v>0</v>
      </c>
    </row>
    <row r="60" spans="1:8">
      <c r="A60" s="77">
        <f t="shared" si="5"/>
        <v>0</v>
      </c>
      <c r="B60" s="78">
        <f t="shared" si="6"/>
        <v>0</v>
      </c>
      <c r="C60" s="78">
        <f t="shared" si="7"/>
        <v>0</v>
      </c>
      <c r="D60" s="78">
        <f t="shared" si="8"/>
        <v>0</v>
      </c>
      <c r="E60" s="78">
        <f t="shared" si="9"/>
        <v>0</v>
      </c>
      <c r="F60" s="78">
        <f t="shared" si="10"/>
        <v>0</v>
      </c>
      <c r="G60" s="78">
        <f t="shared" si="11"/>
        <v>0</v>
      </c>
      <c r="H60" s="78">
        <f t="shared" si="12"/>
        <v>0</v>
      </c>
    </row>
    <row r="61" spans="1:8">
      <c r="A61" s="77">
        <f t="shared" si="5"/>
        <v>0</v>
      </c>
      <c r="B61" s="78">
        <f t="shared" si="6"/>
        <v>0</v>
      </c>
      <c r="C61" s="78">
        <f t="shared" si="7"/>
        <v>0</v>
      </c>
      <c r="D61" s="78">
        <f t="shared" si="8"/>
        <v>0</v>
      </c>
      <c r="E61" s="78">
        <f t="shared" si="9"/>
        <v>0</v>
      </c>
      <c r="F61" s="78">
        <f t="shared" si="10"/>
        <v>0</v>
      </c>
      <c r="G61" s="78">
        <f t="shared" si="11"/>
        <v>0</v>
      </c>
      <c r="H61" s="78">
        <f t="shared" si="12"/>
        <v>0</v>
      </c>
    </row>
    <row r="62" spans="1:8">
      <c r="A62" s="77" t="str">
        <f t="shared" ref="A62" si="13">A34</f>
        <v>Pomegranate</v>
      </c>
      <c r="B62" s="78">
        <f>B34*$B$41</f>
        <v>0</v>
      </c>
      <c r="C62" s="78">
        <f t="shared" ref="C62:H62" si="14">C34*$B$41</f>
        <v>0</v>
      </c>
      <c r="D62" s="78">
        <f t="shared" si="14"/>
        <v>0</v>
      </c>
      <c r="E62" s="78">
        <f t="shared" si="14"/>
        <v>0</v>
      </c>
      <c r="F62" s="78">
        <f t="shared" si="14"/>
        <v>0</v>
      </c>
      <c r="G62" s="78">
        <f t="shared" si="14"/>
        <v>0</v>
      </c>
      <c r="H62" s="78">
        <f t="shared" si="14"/>
        <v>0</v>
      </c>
    </row>
    <row r="63" spans="1:8">
      <c r="A63" s="77" t="str">
        <f>A35</f>
        <v>Custard Apple</v>
      </c>
      <c r="B63" s="78">
        <f t="shared" ref="B63:H63" si="15">B35*$B$41</f>
        <v>0</v>
      </c>
      <c r="C63" s="78">
        <f t="shared" si="15"/>
        <v>0</v>
      </c>
      <c r="D63" s="78">
        <f t="shared" si="15"/>
        <v>0</v>
      </c>
      <c r="E63" s="78">
        <f t="shared" si="15"/>
        <v>0</v>
      </c>
      <c r="F63" s="78">
        <f t="shared" si="15"/>
        <v>0</v>
      </c>
      <c r="G63" s="78">
        <f t="shared" si="15"/>
        <v>0</v>
      </c>
      <c r="H63" s="78">
        <f t="shared" si="15"/>
        <v>0</v>
      </c>
    </row>
    <row r="64" spans="1:8">
      <c r="A64" s="77" t="str">
        <f>A36</f>
        <v>Guava</v>
      </c>
      <c r="B64" s="78">
        <f t="shared" ref="B64:H65" si="16">B36*$B$41</f>
        <v>0</v>
      </c>
      <c r="C64" s="78">
        <f t="shared" si="16"/>
        <v>0</v>
      </c>
      <c r="D64" s="78">
        <f t="shared" si="16"/>
        <v>0</v>
      </c>
      <c r="E64" s="78">
        <f t="shared" si="16"/>
        <v>0</v>
      </c>
      <c r="F64" s="78">
        <f t="shared" si="16"/>
        <v>0</v>
      </c>
      <c r="G64" s="78">
        <f t="shared" si="16"/>
        <v>0</v>
      </c>
      <c r="H64" s="78">
        <f t="shared" si="16"/>
        <v>0</v>
      </c>
    </row>
    <row r="65" spans="1:8">
      <c r="A65" s="77" t="str">
        <f>A37</f>
        <v>Citrus</v>
      </c>
      <c r="B65" s="78">
        <f t="shared" si="16"/>
        <v>0</v>
      </c>
      <c r="C65" s="78">
        <f t="shared" si="16"/>
        <v>0</v>
      </c>
      <c r="D65" s="78">
        <f t="shared" si="16"/>
        <v>0</v>
      </c>
      <c r="E65" s="78">
        <f t="shared" si="16"/>
        <v>0</v>
      </c>
      <c r="F65" s="78">
        <f t="shared" si="16"/>
        <v>0</v>
      </c>
      <c r="G65" s="78">
        <f t="shared" si="16"/>
        <v>0</v>
      </c>
      <c r="H65" s="78">
        <f t="shared" si="16"/>
        <v>0</v>
      </c>
    </row>
    <row r="66" spans="1:8">
      <c r="A66" s="79" t="s">
        <v>286</v>
      </c>
      <c r="B66" s="77"/>
      <c r="C66" s="77"/>
      <c r="D66" s="77"/>
      <c r="E66" s="77"/>
      <c r="F66" s="77"/>
      <c r="G66" s="77"/>
      <c r="H66" s="77"/>
    </row>
    <row r="67" spans="1:8">
      <c r="A67" s="77" t="str">
        <f>A44</f>
        <v>Onion</v>
      </c>
      <c r="B67" s="165"/>
      <c r="C67" s="165"/>
      <c r="D67" s="165"/>
      <c r="E67" s="165"/>
      <c r="F67" s="165"/>
      <c r="G67" s="165"/>
      <c r="H67" s="165"/>
    </row>
    <row r="68" spans="1:8">
      <c r="A68" s="77"/>
      <c r="B68" s="165"/>
      <c r="C68" s="165"/>
      <c r="D68" s="165"/>
      <c r="E68" s="165"/>
      <c r="F68" s="165"/>
      <c r="G68" s="165"/>
      <c r="H68" s="165"/>
    </row>
    <row r="69" spans="1:8">
      <c r="A69" s="77"/>
      <c r="B69" s="165"/>
      <c r="C69" s="165"/>
      <c r="D69" s="165"/>
      <c r="E69" s="165"/>
      <c r="F69" s="165"/>
      <c r="G69" s="165"/>
      <c r="H69" s="165"/>
    </row>
    <row r="70" spans="1:8">
      <c r="A70" s="77"/>
      <c r="B70" s="165"/>
      <c r="C70" s="165"/>
      <c r="D70" s="165"/>
      <c r="E70" s="165"/>
      <c r="F70" s="165"/>
      <c r="G70" s="165"/>
      <c r="H70" s="165"/>
    </row>
    <row r="71" spans="1:8">
      <c r="A71" s="77" t="str">
        <f>A45</f>
        <v>Tomato</v>
      </c>
      <c r="B71" s="78"/>
      <c r="C71" s="78"/>
      <c r="D71" s="78"/>
      <c r="E71" s="78"/>
      <c r="F71" s="78"/>
      <c r="G71" s="78"/>
      <c r="H71" s="78"/>
    </row>
    <row r="72" spans="1:8">
      <c r="A72" s="77"/>
      <c r="B72" s="78"/>
      <c r="C72" s="78"/>
      <c r="D72" s="78"/>
      <c r="E72" s="78"/>
      <c r="F72" s="78"/>
      <c r="G72" s="78"/>
      <c r="H72" s="78"/>
    </row>
    <row r="73" spans="1:8">
      <c r="A73" s="77"/>
      <c r="B73" s="78"/>
      <c r="C73" s="78"/>
      <c r="D73" s="78"/>
      <c r="E73" s="78"/>
      <c r="F73" s="78"/>
      <c r="G73" s="78"/>
      <c r="H73" s="78"/>
    </row>
    <row r="74" spans="1:8">
      <c r="A74" s="77"/>
      <c r="B74" s="78"/>
      <c r="C74" s="78"/>
      <c r="D74" s="78"/>
      <c r="E74" s="78"/>
      <c r="F74" s="78"/>
      <c r="G74" s="78"/>
      <c r="H74" s="78"/>
    </row>
    <row r="75" spans="1:8">
      <c r="A75" s="77" t="str">
        <f>A46</f>
        <v>Okra</v>
      </c>
      <c r="B75" s="78"/>
      <c r="C75" s="78"/>
      <c r="D75" s="78"/>
      <c r="E75" s="78"/>
      <c r="F75" s="78"/>
      <c r="G75" s="78"/>
      <c r="H75" s="78"/>
    </row>
    <row r="76" spans="1:8">
      <c r="A76" s="77"/>
      <c r="B76" s="78"/>
      <c r="C76" s="78"/>
      <c r="D76" s="78"/>
      <c r="E76" s="78"/>
      <c r="F76" s="78"/>
      <c r="G76" s="78"/>
      <c r="H76" s="78"/>
    </row>
    <row r="77" spans="1:8">
      <c r="A77" s="77"/>
      <c r="B77" s="78"/>
      <c r="C77" s="78"/>
      <c r="D77" s="78"/>
      <c r="E77" s="78"/>
      <c r="F77" s="78"/>
      <c r="G77" s="78"/>
      <c r="H77" s="78"/>
    </row>
    <row r="78" spans="1:8">
      <c r="A78" s="77"/>
      <c r="B78" s="78"/>
      <c r="C78" s="78"/>
      <c r="D78" s="78"/>
      <c r="E78" s="78"/>
      <c r="F78" s="78"/>
      <c r="G78" s="78"/>
      <c r="H78" s="78"/>
    </row>
    <row r="79" spans="1:8">
      <c r="A79" s="77" t="str">
        <f>A47</f>
        <v>Chilli</v>
      </c>
      <c r="B79" s="78"/>
      <c r="C79" s="78"/>
      <c r="D79" s="78"/>
      <c r="E79" s="78"/>
      <c r="F79" s="78"/>
      <c r="G79" s="78"/>
      <c r="H79" s="78"/>
    </row>
    <row r="80" spans="1:8">
      <c r="A80" s="77"/>
      <c r="B80" s="78"/>
      <c r="C80" s="78"/>
      <c r="D80" s="78"/>
      <c r="E80" s="78"/>
      <c r="F80" s="78"/>
      <c r="G80" s="78"/>
      <c r="H80" s="78"/>
    </row>
    <row r="81" spans="1:8">
      <c r="A81" s="77"/>
      <c r="B81" s="78"/>
      <c r="C81" s="78"/>
      <c r="D81" s="78"/>
      <c r="E81" s="78"/>
      <c r="F81" s="78"/>
      <c r="G81" s="78"/>
      <c r="H81" s="78"/>
    </row>
    <row r="82" spans="1:8">
      <c r="A82" s="77"/>
      <c r="B82" s="78"/>
      <c r="C82" s="78"/>
      <c r="D82" s="78"/>
      <c r="E82" s="78"/>
      <c r="F82" s="78"/>
      <c r="G82" s="78"/>
      <c r="H82" s="78"/>
    </row>
    <row r="83" spans="1:8">
      <c r="A83" s="77" t="str">
        <f>A48</f>
        <v>Potato</v>
      </c>
      <c r="B83" s="78"/>
      <c r="C83" s="78"/>
      <c r="D83" s="78"/>
      <c r="E83" s="78"/>
      <c r="F83" s="78"/>
      <c r="G83" s="78"/>
      <c r="H83" s="78"/>
    </row>
    <row r="84" spans="1:8">
      <c r="A84" s="77"/>
      <c r="B84" s="78"/>
      <c r="C84" s="78"/>
      <c r="D84" s="78"/>
      <c r="E84" s="78"/>
      <c r="F84" s="78"/>
      <c r="G84" s="78"/>
      <c r="H84" s="78"/>
    </row>
    <row r="85" spans="1:8">
      <c r="A85" s="77"/>
      <c r="B85" s="78"/>
      <c r="C85" s="78"/>
      <c r="D85" s="78"/>
      <c r="E85" s="78"/>
      <c r="F85" s="78"/>
      <c r="G85" s="78"/>
      <c r="H85" s="78"/>
    </row>
    <row r="86" spans="1:8">
      <c r="A86" s="77"/>
      <c r="B86" s="78"/>
      <c r="C86" s="78"/>
      <c r="D86" s="78"/>
      <c r="E86" s="78"/>
      <c r="F86" s="78"/>
      <c r="G86" s="78"/>
      <c r="H86" s="78"/>
    </row>
    <row r="87" spans="1:8">
      <c r="A87" s="77">
        <f>A49</f>
        <v>0</v>
      </c>
      <c r="B87" s="78"/>
      <c r="C87" s="78"/>
      <c r="D87" s="78"/>
      <c r="E87" s="78"/>
      <c r="F87" s="78"/>
      <c r="G87" s="78"/>
      <c r="H87" s="78"/>
    </row>
    <row r="88" spans="1:8">
      <c r="A88" s="77"/>
      <c r="B88" s="78"/>
      <c r="C88" s="78"/>
      <c r="D88" s="78"/>
      <c r="E88" s="78"/>
      <c r="F88" s="78"/>
      <c r="G88" s="78"/>
      <c r="H88" s="78"/>
    </row>
    <row r="89" spans="1:8">
      <c r="A89" s="77"/>
      <c r="B89" s="78"/>
      <c r="C89" s="78"/>
      <c r="D89" s="78"/>
      <c r="E89" s="78"/>
      <c r="F89" s="78"/>
      <c r="G89" s="78"/>
      <c r="H89" s="78"/>
    </row>
    <row r="90" spans="1:8">
      <c r="A90" s="77"/>
      <c r="B90" s="78"/>
      <c r="C90" s="78"/>
      <c r="D90" s="78"/>
      <c r="E90" s="78"/>
      <c r="F90" s="78"/>
      <c r="G90" s="78"/>
      <c r="H90" s="78"/>
    </row>
    <row r="91" spans="1:8">
      <c r="A91" s="77">
        <f>A50</f>
        <v>0</v>
      </c>
      <c r="B91" s="78"/>
      <c r="C91" s="78"/>
      <c r="D91" s="78"/>
      <c r="E91" s="78"/>
      <c r="F91" s="78"/>
      <c r="G91" s="78"/>
      <c r="H91" s="78"/>
    </row>
    <row r="92" spans="1:8">
      <c r="A92" s="77"/>
      <c r="B92" s="78"/>
      <c r="C92" s="78"/>
      <c r="D92" s="78"/>
      <c r="E92" s="78"/>
      <c r="F92" s="78"/>
      <c r="G92" s="78"/>
      <c r="H92" s="78"/>
    </row>
    <row r="93" spans="1:8">
      <c r="A93" s="77"/>
      <c r="B93" s="78"/>
      <c r="C93" s="78"/>
      <c r="D93" s="78"/>
      <c r="E93" s="78"/>
      <c r="F93" s="78"/>
      <c r="G93" s="78"/>
      <c r="H93" s="78"/>
    </row>
    <row r="94" spans="1:8">
      <c r="A94" s="77">
        <f>A51</f>
        <v>0</v>
      </c>
      <c r="B94" s="78"/>
      <c r="C94" s="78"/>
      <c r="D94" s="78"/>
      <c r="E94" s="78"/>
      <c r="F94" s="78"/>
      <c r="G94" s="78"/>
      <c r="H94" s="78"/>
    </row>
    <row r="95" spans="1:8">
      <c r="A95" s="77"/>
      <c r="B95" s="78"/>
      <c r="C95" s="78"/>
      <c r="D95" s="78"/>
      <c r="E95" s="78"/>
      <c r="F95" s="78"/>
      <c r="G95" s="78"/>
      <c r="H95" s="78"/>
    </row>
    <row r="96" spans="1:8">
      <c r="A96" s="77"/>
      <c r="B96" s="78"/>
      <c r="C96" s="78"/>
      <c r="D96" s="78"/>
      <c r="E96" s="78"/>
      <c r="F96" s="78"/>
      <c r="G96" s="78"/>
      <c r="H96" s="78"/>
    </row>
    <row r="97" spans="1:8">
      <c r="A97" s="77"/>
      <c r="B97" s="78"/>
      <c r="C97" s="78"/>
      <c r="D97" s="78"/>
      <c r="E97" s="78"/>
      <c r="F97" s="78"/>
      <c r="G97" s="78"/>
      <c r="H97" s="78"/>
    </row>
    <row r="98" spans="1:8">
      <c r="A98" s="77">
        <f>A52</f>
        <v>0</v>
      </c>
      <c r="B98" s="78"/>
      <c r="C98" s="78"/>
      <c r="D98" s="78"/>
      <c r="E98" s="78"/>
      <c r="F98" s="78"/>
      <c r="G98" s="78"/>
      <c r="H98" s="78"/>
    </row>
    <row r="99" spans="1:8">
      <c r="A99" s="77"/>
      <c r="B99" s="78"/>
      <c r="C99" s="78"/>
      <c r="D99" s="78"/>
      <c r="E99" s="78"/>
      <c r="F99" s="78"/>
      <c r="G99" s="78"/>
      <c r="H99" s="78"/>
    </row>
    <row r="100" spans="1:8">
      <c r="A100" s="77"/>
      <c r="B100" s="78"/>
      <c r="C100" s="78"/>
      <c r="D100" s="78"/>
      <c r="E100" s="78"/>
      <c r="F100" s="78"/>
      <c r="G100" s="78"/>
      <c r="H100" s="78"/>
    </row>
    <row r="101" spans="1:8">
      <c r="A101" s="77"/>
      <c r="B101" s="78"/>
      <c r="C101" s="78"/>
      <c r="D101" s="78"/>
      <c r="E101" s="78"/>
      <c r="F101" s="78"/>
      <c r="G101" s="78"/>
      <c r="H101" s="78"/>
    </row>
    <row r="102" spans="1:8">
      <c r="A102" s="77" t="str">
        <f>A53</f>
        <v>Onion</v>
      </c>
      <c r="B102" s="78"/>
      <c r="C102" s="78"/>
      <c r="D102" s="78"/>
      <c r="E102" s="78"/>
      <c r="F102" s="78"/>
      <c r="G102" s="78"/>
      <c r="H102" s="78"/>
    </row>
    <row r="103" spans="1:8">
      <c r="A103" s="77"/>
      <c r="B103" s="78"/>
      <c r="C103" s="78"/>
      <c r="D103" s="78"/>
      <c r="E103" s="78"/>
      <c r="F103" s="78"/>
      <c r="G103" s="78"/>
      <c r="H103" s="78"/>
    </row>
    <row r="104" spans="1:8">
      <c r="A104" s="77"/>
      <c r="B104" s="78"/>
      <c r="C104" s="78"/>
      <c r="D104" s="78"/>
      <c r="E104" s="78"/>
      <c r="F104" s="78"/>
      <c r="G104" s="78"/>
      <c r="H104" s="78"/>
    </row>
    <row r="105" spans="1:8">
      <c r="A105" s="77"/>
      <c r="B105" s="78"/>
      <c r="C105" s="78"/>
      <c r="D105" s="78"/>
      <c r="E105" s="78"/>
      <c r="F105" s="78"/>
      <c r="G105" s="78"/>
      <c r="H105" s="78"/>
    </row>
    <row r="106" spans="1:8">
      <c r="A106" s="77" t="str">
        <f>A54</f>
        <v>Tomato</v>
      </c>
      <c r="B106" s="78"/>
      <c r="C106" s="78"/>
      <c r="D106" s="78"/>
      <c r="E106" s="78"/>
      <c r="F106" s="78"/>
      <c r="G106" s="78"/>
      <c r="H106" s="78"/>
    </row>
    <row r="107" spans="1:8">
      <c r="A107" s="77"/>
      <c r="B107" s="78"/>
      <c r="C107" s="78"/>
      <c r="D107" s="78"/>
      <c r="E107" s="78"/>
      <c r="F107" s="78"/>
      <c r="G107" s="78"/>
      <c r="H107" s="78"/>
    </row>
    <row r="108" spans="1:8">
      <c r="A108" s="77"/>
      <c r="B108" s="78"/>
      <c r="C108" s="78"/>
      <c r="D108" s="78"/>
      <c r="E108" s="78"/>
      <c r="F108" s="78"/>
      <c r="G108" s="78"/>
      <c r="H108" s="78"/>
    </row>
    <row r="109" spans="1:8">
      <c r="A109" s="77"/>
      <c r="B109" s="78"/>
      <c r="C109" s="78"/>
      <c r="D109" s="78"/>
      <c r="E109" s="78"/>
      <c r="F109" s="78"/>
      <c r="G109" s="78"/>
      <c r="H109" s="78"/>
    </row>
    <row r="110" spans="1:8">
      <c r="A110" s="77" t="str">
        <f>A55</f>
        <v>Okra</v>
      </c>
      <c r="B110" s="78"/>
      <c r="C110" s="78"/>
      <c r="D110" s="78"/>
      <c r="E110" s="78"/>
      <c r="F110" s="78"/>
      <c r="G110" s="78"/>
      <c r="H110" s="78"/>
    </row>
    <row r="111" spans="1:8">
      <c r="A111" s="77"/>
      <c r="B111" s="78"/>
      <c r="C111" s="78"/>
      <c r="D111" s="78"/>
      <c r="E111" s="78"/>
      <c r="F111" s="78"/>
      <c r="G111" s="78"/>
      <c r="H111" s="78"/>
    </row>
    <row r="112" spans="1:8">
      <c r="A112" s="77"/>
      <c r="B112" s="78"/>
      <c r="C112" s="78"/>
      <c r="D112" s="78"/>
      <c r="E112" s="78"/>
      <c r="F112" s="78"/>
      <c r="G112" s="78"/>
      <c r="H112" s="78"/>
    </row>
    <row r="113" spans="1:8">
      <c r="A113" s="77"/>
      <c r="B113" s="78"/>
      <c r="C113" s="78"/>
      <c r="D113" s="78"/>
      <c r="E113" s="78"/>
      <c r="F113" s="78"/>
      <c r="G113" s="78"/>
      <c r="H113" s="78"/>
    </row>
    <row r="114" spans="1:8">
      <c r="A114" s="77" t="str">
        <f>A56</f>
        <v>Chilli</v>
      </c>
      <c r="B114" s="78"/>
      <c r="C114" s="78"/>
      <c r="D114" s="78"/>
      <c r="E114" s="78"/>
      <c r="F114" s="78"/>
      <c r="G114" s="78"/>
      <c r="H114" s="78"/>
    </row>
    <row r="115" spans="1:8">
      <c r="A115" s="77"/>
      <c r="B115" s="78"/>
      <c r="C115" s="78"/>
      <c r="D115" s="78"/>
      <c r="E115" s="78"/>
      <c r="F115" s="78"/>
      <c r="G115" s="78"/>
      <c r="H115" s="78"/>
    </row>
    <row r="116" spans="1:8">
      <c r="A116" s="77"/>
      <c r="B116" s="78"/>
      <c r="C116" s="78"/>
      <c r="D116" s="78"/>
      <c r="E116" s="78"/>
      <c r="F116" s="78"/>
      <c r="G116" s="78"/>
      <c r="H116" s="78"/>
    </row>
    <row r="117" spans="1:8">
      <c r="A117" s="77"/>
      <c r="B117" s="78"/>
      <c r="C117" s="78"/>
      <c r="D117" s="78"/>
      <c r="E117" s="78"/>
      <c r="F117" s="78"/>
      <c r="G117" s="78"/>
      <c r="H117" s="78"/>
    </row>
    <row r="118" spans="1:8">
      <c r="A118" s="79" t="str">
        <f t="shared" ref="A118:A123" si="17">A57</f>
        <v>Brinjal</v>
      </c>
      <c r="B118" s="78"/>
      <c r="C118" s="78"/>
      <c r="D118" s="78"/>
      <c r="E118" s="78"/>
      <c r="F118" s="78"/>
      <c r="G118" s="78"/>
      <c r="H118" s="78"/>
    </row>
    <row r="119" spans="1:8">
      <c r="A119" s="77">
        <f t="shared" si="17"/>
        <v>0</v>
      </c>
      <c r="B119" s="78"/>
      <c r="C119" s="78"/>
      <c r="D119" s="78"/>
      <c r="E119" s="78"/>
      <c r="F119" s="78"/>
      <c r="G119" s="78"/>
      <c r="H119" s="78"/>
    </row>
    <row r="120" spans="1:8">
      <c r="A120" s="77">
        <f t="shared" si="17"/>
        <v>0</v>
      </c>
      <c r="B120" s="78"/>
      <c r="C120" s="78"/>
      <c r="D120" s="78"/>
      <c r="E120" s="78"/>
      <c r="F120" s="78"/>
      <c r="G120" s="78"/>
      <c r="H120" s="78"/>
    </row>
    <row r="121" spans="1:8">
      <c r="A121" s="77">
        <f t="shared" si="17"/>
        <v>0</v>
      </c>
      <c r="B121" s="78"/>
      <c r="C121" s="78"/>
      <c r="D121" s="78"/>
      <c r="E121" s="78"/>
      <c r="F121" s="78"/>
      <c r="G121" s="78"/>
      <c r="H121" s="78"/>
    </row>
    <row r="122" spans="1:8">
      <c r="A122" s="77">
        <f t="shared" si="17"/>
        <v>0</v>
      </c>
      <c r="B122" s="78"/>
      <c r="C122" s="78"/>
      <c r="D122" s="78"/>
      <c r="E122" s="78"/>
      <c r="F122" s="78"/>
      <c r="G122" s="78"/>
      <c r="H122" s="78"/>
    </row>
    <row r="123" spans="1:8">
      <c r="A123" s="79" t="str">
        <f t="shared" si="17"/>
        <v>Pomegranate</v>
      </c>
      <c r="B123" s="78"/>
      <c r="C123" s="78"/>
      <c r="D123" s="78"/>
      <c r="E123" s="78"/>
      <c r="F123" s="78"/>
      <c r="G123" s="78"/>
      <c r="H123" s="78"/>
    </row>
    <row r="124" spans="1:8">
      <c r="A124" s="77" t="s">
        <v>529</v>
      </c>
      <c r="B124" s="78">
        <f>(B$62*50%)*0.7</f>
        <v>0</v>
      </c>
      <c r="C124" s="78">
        <f>(C$62*50%)*0.7</f>
        <v>0</v>
      </c>
      <c r="D124" s="78">
        <f t="shared" ref="D124:H126" si="18">(D$62*50%)*0.7</f>
        <v>0</v>
      </c>
      <c r="E124" s="78">
        <f t="shared" si="18"/>
        <v>0</v>
      </c>
      <c r="F124" s="78">
        <f t="shared" si="18"/>
        <v>0</v>
      </c>
      <c r="G124" s="78">
        <f t="shared" si="18"/>
        <v>0</v>
      </c>
      <c r="H124" s="78">
        <f t="shared" si="18"/>
        <v>0</v>
      </c>
    </row>
    <row r="125" spans="1:8">
      <c r="A125" s="77" t="s">
        <v>527</v>
      </c>
      <c r="B125" s="78">
        <f>(B$62*50%)*0.7*2</f>
        <v>0</v>
      </c>
      <c r="C125" s="78">
        <f>(C$62*50%)*0.7</f>
        <v>0</v>
      </c>
      <c r="D125" s="78">
        <f t="shared" si="18"/>
        <v>0</v>
      </c>
      <c r="E125" s="78">
        <f t="shared" si="18"/>
        <v>0</v>
      </c>
      <c r="F125" s="78">
        <f t="shared" si="18"/>
        <v>0</v>
      </c>
      <c r="G125" s="78">
        <f t="shared" si="18"/>
        <v>0</v>
      </c>
      <c r="H125" s="78">
        <f t="shared" si="18"/>
        <v>0</v>
      </c>
    </row>
    <row r="126" spans="1:8">
      <c r="A126" s="77" t="s">
        <v>528</v>
      </c>
      <c r="B126" s="78">
        <f>(B$62*0.3)*0.2</f>
        <v>0</v>
      </c>
      <c r="C126" s="78">
        <f>(C$62*50%)*0.7</f>
        <v>0</v>
      </c>
      <c r="D126" s="78">
        <f t="shared" si="18"/>
        <v>0</v>
      </c>
      <c r="E126" s="78">
        <f t="shared" si="18"/>
        <v>0</v>
      </c>
      <c r="F126" s="78">
        <f t="shared" si="18"/>
        <v>0</v>
      </c>
      <c r="G126" s="78">
        <f t="shared" si="18"/>
        <v>0</v>
      </c>
      <c r="H126" s="78">
        <f t="shared" si="18"/>
        <v>0</v>
      </c>
    </row>
    <row r="127" spans="1:8">
      <c r="A127" s="77" t="str">
        <f t="shared" ref="A127" si="19">A63</f>
        <v>Custard Apple</v>
      </c>
      <c r="B127" s="78"/>
      <c r="C127" s="78"/>
      <c r="D127" s="78"/>
      <c r="E127" s="78"/>
      <c r="F127" s="78"/>
      <c r="G127" s="78"/>
      <c r="H127" s="78"/>
    </row>
    <row r="128" spans="1:8">
      <c r="A128" s="77"/>
      <c r="B128" s="78"/>
      <c r="C128" s="78"/>
      <c r="D128" s="78"/>
      <c r="E128" s="78"/>
      <c r="F128" s="78"/>
      <c r="G128" s="78"/>
      <c r="H128" s="78"/>
    </row>
    <row r="129" spans="1:8">
      <c r="A129" s="77"/>
      <c r="B129" s="78"/>
      <c r="C129" s="78"/>
      <c r="D129" s="78"/>
      <c r="E129" s="78"/>
      <c r="F129" s="78"/>
      <c r="G129" s="78"/>
      <c r="H129" s="78"/>
    </row>
    <row r="130" spans="1:8">
      <c r="A130" s="77"/>
      <c r="B130" s="78"/>
      <c r="C130" s="78"/>
      <c r="D130" s="78"/>
      <c r="E130" s="78"/>
      <c r="F130" s="78"/>
      <c r="G130" s="78"/>
      <c r="H130" s="78"/>
    </row>
    <row r="131" spans="1:8">
      <c r="A131" s="77" t="str">
        <f>A64</f>
        <v>Guava</v>
      </c>
      <c r="B131" s="78"/>
      <c r="C131" s="78"/>
      <c r="D131" s="78"/>
      <c r="E131" s="78"/>
      <c r="F131" s="78"/>
      <c r="G131" s="78"/>
      <c r="H131" s="78"/>
    </row>
    <row r="132" spans="1:8">
      <c r="A132" s="77"/>
      <c r="B132" s="78"/>
      <c r="C132" s="78"/>
      <c r="D132" s="78"/>
      <c r="E132" s="78"/>
      <c r="F132" s="78"/>
      <c r="G132" s="78"/>
      <c r="H132" s="78"/>
    </row>
    <row r="133" spans="1:8">
      <c r="A133" s="77"/>
      <c r="B133" s="78"/>
      <c r="C133" s="78"/>
      <c r="D133" s="78"/>
      <c r="E133" s="78"/>
      <c r="F133" s="78"/>
      <c r="G133" s="78"/>
      <c r="H133" s="78"/>
    </row>
    <row r="134" spans="1:8">
      <c r="A134" s="77"/>
      <c r="B134" s="78"/>
      <c r="C134" s="78"/>
      <c r="D134" s="78"/>
      <c r="E134" s="78"/>
      <c r="F134" s="78"/>
      <c r="G134" s="78"/>
      <c r="H134" s="78"/>
    </row>
    <row r="135" spans="1:8">
      <c r="A135" s="77" t="str">
        <f>A65</f>
        <v>Citrus</v>
      </c>
      <c r="B135" s="78"/>
      <c r="C135" s="78"/>
      <c r="D135" s="78"/>
      <c r="E135" s="78"/>
      <c r="F135" s="78"/>
      <c r="G135" s="78"/>
      <c r="H135" s="78"/>
    </row>
    <row r="136" spans="1:8">
      <c r="A136" s="77"/>
      <c r="B136" s="78"/>
      <c r="C136" s="78"/>
      <c r="D136" s="78"/>
      <c r="E136" s="78"/>
      <c r="F136" s="78"/>
      <c r="G136" s="78"/>
      <c r="H136" s="78"/>
    </row>
    <row r="137" spans="1:8">
      <c r="A137" s="77"/>
      <c r="B137" s="78"/>
      <c r="C137" s="78"/>
      <c r="D137" s="78"/>
      <c r="E137" s="78"/>
      <c r="F137" s="78"/>
      <c r="G137" s="78"/>
      <c r="H137" s="78"/>
    </row>
    <row r="138" spans="1:8">
      <c r="A138" s="77"/>
      <c r="B138" s="78"/>
      <c r="C138" s="78"/>
      <c r="D138" s="78"/>
      <c r="E138" s="78"/>
      <c r="F138" s="78"/>
      <c r="G138" s="78"/>
      <c r="H138" s="78"/>
    </row>
    <row r="139" spans="1:8">
      <c r="A139" s="76"/>
      <c r="B139" s="267"/>
      <c r="C139" s="267"/>
      <c r="D139" s="267"/>
      <c r="E139" s="267"/>
      <c r="F139" s="267"/>
      <c r="G139" s="267"/>
      <c r="H139" s="267"/>
    </row>
    <row r="140" spans="1:8">
      <c r="A140" s="76" t="s">
        <v>454</v>
      </c>
    </row>
    <row r="141" spans="1:8">
      <c r="A141" t="s">
        <v>532</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533</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534</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62" t="s">
        <v>603</v>
      </c>
      <c r="B147" s="362"/>
      <c r="C147" s="362"/>
      <c r="D147" s="362"/>
      <c r="E147" s="362"/>
      <c r="F147" s="362"/>
      <c r="G147" s="362"/>
      <c r="H147" s="362"/>
      <c r="I147" s="362"/>
      <c r="J147" s="362"/>
    </row>
    <row r="148" spans="1:10">
      <c r="A148" s="12"/>
      <c r="B148" s="12"/>
      <c r="C148" s="12"/>
      <c r="D148" s="12"/>
      <c r="E148" s="12"/>
      <c r="F148" s="12"/>
      <c r="G148" s="12"/>
      <c r="H148" s="12"/>
    </row>
    <row r="149" spans="1:10">
      <c r="A149" s="166"/>
      <c r="B149" s="166"/>
      <c r="C149" s="166"/>
      <c r="D149" s="167">
        <v>1</v>
      </c>
      <c r="E149" s="168">
        <f>(D149*5%)+D149</f>
        <v>1.05</v>
      </c>
      <c r="F149" s="168">
        <f t="shared" ref="F149:J149" si="24">(E149*5%)+E149</f>
        <v>1.1025</v>
      </c>
      <c r="G149" s="168">
        <f t="shared" si="24"/>
        <v>1.1576250000000001</v>
      </c>
      <c r="H149" s="168">
        <f t="shared" si="24"/>
        <v>1.2155062500000002</v>
      </c>
      <c r="I149" s="168">
        <f t="shared" si="24"/>
        <v>1.2762815625000004</v>
      </c>
      <c r="J149" s="168">
        <f t="shared" si="24"/>
        <v>1.3400956406250004</v>
      </c>
    </row>
    <row r="150" spans="1:10">
      <c r="A150" s="76"/>
      <c r="B150" s="76"/>
      <c r="C150" s="76"/>
      <c r="D150" s="76"/>
      <c r="E150" s="76"/>
      <c r="F150" s="76"/>
      <c r="G150" s="76"/>
      <c r="H150" s="76"/>
      <c r="I150" s="76"/>
      <c r="J150" s="76"/>
    </row>
    <row r="151" spans="1:10">
      <c r="A151" s="128" t="s">
        <v>0</v>
      </c>
      <c r="B151" s="128" t="s">
        <v>133</v>
      </c>
      <c r="C151" s="128" t="s">
        <v>152</v>
      </c>
      <c r="D151" s="100" t="s">
        <v>2</v>
      </c>
      <c r="E151" s="100" t="s">
        <v>3</v>
      </c>
      <c r="F151" s="100" t="s">
        <v>4</v>
      </c>
      <c r="G151" s="100" t="s">
        <v>5</v>
      </c>
      <c r="H151" s="100" t="s">
        <v>6</v>
      </c>
      <c r="I151" s="100" t="s">
        <v>169</v>
      </c>
      <c r="J151" s="100" t="s">
        <v>168</v>
      </c>
    </row>
    <row r="152" spans="1:10">
      <c r="A152" s="77"/>
      <c r="B152" s="77"/>
      <c r="C152" s="77"/>
      <c r="D152" s="77"/>
      <c r="E152" s="77"/>
      <c r="F152" s="77"/>
      <c r="G152" s="77"/>
      <c r="H152" s="77"/>
      <c r="I152" s="77"/>
      <c r="J152" s="77"/>
    </row>
    <row r="153" spans="1:10">
      <c r="A153" s="79" t="s">
        <v>127</v>
      </c>
      <c r="B153" s="79"/>
      <c r="C153" s="79"/>
      <c r="D153" s="94"/>
      <c r="E153" s="94"/>
      <c r="F153" s="94"/>
      <c r="G153" s="94"/>
      <c r="H153" s="94"/>
      <c r="I153" s="77"/>
      <c r="J153" s="77"/>
    </row>
    <row r="154" spans="1:10">
      <c r="A154" s="77" t="str">
        <f>A124</f>
        <v>Pomegranate Arils</v>
      </c>
      <c r="B154" s="201" t="s">
        <v>531</v>
      </c>
      <c r="C154" s="201">
        <v>150</v>
      </c>
      <c r="D154" s="78">
        <f>(B141*(1-'5.Closing Stock &amp; W Capital'!$D$18)*$C154*D$149)</f>
        <v>0</v>
      </c>
      <c r="E154" s="78">
        <f>(((C141*(1-'5.Closing Stock &amp; W Capital'!$D$18))+(B141*'5.Closing Stock &amp; W Capital'!$D$18))*$C154*E$149)</f>
        <v>0</v>
      </c>
      <c r="F154" s="78">
        <f>(((D141*(1-'5.Closing Stock &amp; W Capital'!$D$18))+(C141*'5.Closing Stock &amp; W Capital'!$D$18))*$C154*F$149)</f>
        <v>0</v>
      </c>
      <c r="G154" s="78">
        <f>(((E141*(1-'5.Closing Stock &amp; W Capital'!$D$18))+(D141*'5.Closing Stock &amp; W Capital'!$D$18))*$C154*G$149)</f>
        <v>0</v>
      </c>
      <c r="H154" s="78">
        <f>(((F141*(1-'5.Closing Stock &amp; W Capital'!$D$18))+(E141*'5.Closing Stock &amp; W Capital'!$D$18))*$C154*H$149)</f>
        <v>0</v>
      </c>
      <c r="I154" s="78">
        <f>(((G141*(1-'5.Closing Stock &amp; W Capital'!$D$18))+(F141*'5.Closing Stock &amp; W Capital'!$D$18))*$C154*I$149)</f>
        <v>0</v>
      </c>
      <c r="J154" s="78">
        <f>(((H141*(1-'5.Closing Stock &amp; W Capital'!$D$18))+(G141*'5.Closing Stock &amp; W Capital'!$D$18))*$C154*J$149)</f>
        <v>0</v>
      </c>
    </row>
    <row r="155" spans="1:10">
      <c r="A155" s="77" t="str">
        <f>A125</f>
        <v>Pomegranate Juice</v>
      </c>
      <c r="B155" s="201" t="s">
        <v>530</v>
      </c>
      <c r="C155" s="201">
        <v>40</v>
      </c>
      <c r="D155" s="78">
        <f>(B142*(1-'5.Closing Stock &amp; W Capital'!$D$18)*$C155*D$149)</f>
        <v>0</v>
      </c>
      <c r="E155" s="78">
        <f>(((C142*(1-'5.Closing Stock &amp; W Capital'!$D$18))+(B142*'5.Closing Stock &amp; W Capital'!$D$18))*$C155*E$149)</f>
        <v>0</v>
      </c>
      <c r="F155" s="78">
        <f>(((D142*(1-'5.Closing Stock &amp; W Capital'!$D$18))+(C142*'5.Closing Stock &amp; W Capital'!$D$18))*$C155*F$149)</f>
        <v>0</v>
      </c>
      <c r="G155" s="78">
        <f>(((E142*(1-'5.Closing Stock &amp; W Capital'!$D$18))+(D142*'5.Closing Stock &amp; W Capital'!$D$18))*$C155*G$149)</f>
        <v>0</v>
      </c>
      <c r="H155" s="78">
        <f>(((F142*(1-'5.Closing Stock &amp; W Capital'!$D$18))+(E142*'5.Closing Stock &amp; W Capital'!$D$18))*$C155*H$149)</f>
        <v>0</v>
      </c>
      <c r="I155" s="78">
        <f>(((G142*(1-'5.Closing Stock &amp; W Capital'!$D$18))+(F142*'5.Closing Stock &amp; W Capital'!$D$18))*$C155*I$149)</f>
        <v>0</v>
      </c>
      <c r="J155" s="78">
        <f>(((H142*(1-'5.Closing Stock &amp; W Capital'!$D$18))+(G142*'5.Closing Stock &amp; W Capital'!$D$18))*$C155*J$149)</f>
        <v>0</v>
      </c>
    </row>
    <row r="156" spans="1:10">
      <c r="A156" s="77" t="str">
        <f>A126</f>
        <v>Pomegranate Powder</v>
      </c>
      <c r="B156" s="201" t="s">
        <v>364</v>
      </c>
      <c r="C156" s="201">
        <v>50</v>
      </c>
      <c r="D156" s="78">
        <f>(B143*(1-'5.Closing Stock &amp; W Capital'!$D$18)*$C156*D$149)</f>
        <v>0</v>
      </c>
      <c r="E156" s="78">
        <f>(((C143*(1-'5.Closing Stock &amp; W Capital'!$D$18))+(B143*'5.Closing Stock &amp; W Capital'!$D$18))*$C156*E$149)</f>
        <v>0</v>
      </c>
      <c r="F156" s="78">
        <f>(((D143*(1-'5.Closing Stock &amp; W Capital'!$D$18))+(C143*'5.Closing Stock &amp; W Capital'!$D$18))*$C156*F$149)</f>
        <v>0</v>
      </c>
      <c r="G156" s="78">
        <f>(((E143*(1-'5.Closing Stock &amp; W Capital'!$D$18))+(D143*'5.Closing Stock &amp; W Capital'!$D$18))*$C156*G$149)</f>
        <v>0</v>
      </c>
      <c r="H156" s="78">
        <f>(((F143*(1-'5.Closing Stock &amp; W Capital'!$D$18))+(E143*'5.Closing Stock &amp; W Capital'!$D$18))*$C156*H$149)</f>
        <v>0</v>
      </c>
      <c r="I156" s="78">
        <f>(((G143*(1-'5.Closing Stock &amp; W Capital'!$D$18))+(F143*'5.Closing Stock &amp; W Capital'!$D$18))*$C156*I$149)</f>
        <v>0</v>
      </c>
      <c r="J156" s="78">
        <f>(((H143*(1-'5.Closing Stock &amp; W Capital'!$D$18))+(G143*'5.Closing Stock &amp; W Capital'!$D$18))*$C156*J$149)</f>
        <v>0</v>
      </c>
    </row>
    <row r="157" spans="1:10">
      <c r="A157" s="77"/>
      <c r="B157" s="201"/>
      <c r="C157" s="201"/>
      <c r="D157" s="78"/>
      <c r="E157" s="78"/>
      <c r="F157" s="78"/>
      <c r="G157" s="78"/>
      <c r="H157" s="78"/>
      <c r="I157" s="78"/>
      <c r="J157" s="78"/>
    </row>
    <row r="158" spans="1:10">
      <c r="A158" s="77"/>
      <c r="B158" s="77"/>
      <c r="C158" s="77"/>
      <c r="D158" s="78"/>
      <c r="E158" s="78"/>
      <c r="F158" s="78"/>
      <c r="G158" s="78"/>
      <c r="H158" s="78"/>
      <c r="I158" s="78"/>
      <c r="J158" s="78"/>
    </row>
    <row r="159" spans="1:10">
      <c r="A159" s="79" t="s">
        <v>127</v>
      </c>
      <c r="B159" s="79"/>
      <c r="C159" s="79"/>
      <c r="D159" s="95">
        <f t="shared" ref="D159:J159" si="25">SUM(D154:D157)</f>
        <v>0</v>
      </c>
      <c r="E159" s="95">
        <f t="shared" si="25"/>
        <v>0</v>
      </c>
      <c r="F159" s="95">
        <f t="shared" si="25"/>
        <v>0</v>
      </c>
      <c r="G159" s="95">
        <f t="shared" si="25"/>
        <v>0</v>
      </c>
      <c r="H159" s="95">
        <f t="shared" si="25"/>
        <v>0</v>
      </c>
      <c r="I159" s="95">
        <f t="shared" si="25"/>
        <v>0</v>
      </c>
      <c r="J159" s="95">
        <f t="shared" si="25"/>
        <v>0</v>
      </c>
    </row>
    <row r="160" spans="1:10">
      <c r="A160" s="77"/>
      <c r="B160" s="77"/>
      <c r="C160" s="77"/>
      <c r="D160" s="78"/>
      <c r="E160" s="78"/>
      <c r="F160" s="78"/>
      <c r="G160" s="78"/>
      <c r="H160" s="78"/>
      <c r="I160" s="78"/>
      <c r="J160" s="78"/>
    </row>
    <row r="161" spans="1:10">
      <c r="A161" s="79" t="s">
        <v>143</v>
      </c>
      <c r="B161" s="79"/>
      <c r="C161" s="79"/>
      <c r="D161" s="78"/>
      <c r="E161" s="78"/>
      <c r="F161" s="78"/>
      <c r="G161" s="78"/>
      <c r="H161" s="78"/>
      <c r="I161" s="78"/>
      <c r="J161" s="78"/>
    </row>
    <row r="162" spans="1:10">
      <c r="A162" s="79" t="s">
        <v>312</v>
      </c>
      <c r="B162" s="79"/>
      <c r="C162" s="77"/>
      <c r="D162" s="78"/>
      <c r="E162" s="78"/>
      <c r="F162" s="78"/>
      <c r="G162" s="78"/>
      <c r="H162" s="78"/>
      <c r="I162" s="78"/>
      <c r="J162" s="78"/>
    </row>
    <row r="163" spans="1:10">
      <c r="A163" s="77" t="s">
        <v>535</v>
      </c>
      <c r="B163" s="201" t="s">
        <v>365</v>
      </c>
      <c r="C163" s="225">
        <v>6000</v>
      </c>
      <c r="D163" s="78">
        <f>B62*$C163*D$149</f>
        <v>0</v>
      </c>
      <c r="E163" s="78">
        <f>C62*$C163*E$149</f>
        <v>0</v>
      </c>
      <c r="F163" s="78">
        <f t="shared" ref="F163:J163" si="26">D62*$C163*F$149</f>
        <v>0</v>
      </c>
      <c r="G163" s="78">
        <f t="shared" si="26"/>
        <v>0</v>
      </c>
      <c r="H163" s="78">
        <f t="shared" si="26"/>
        <v>0</v>
      </c>
      <c r="I163" s="78">
        <f t="shared" si="26"/>
        <v>0</v>
      </c>
      <c r="J163" s="78">
        <f t="shared" si="26"/>
        <v>0</v>
      </c>
    </row>
    <row r="164" spans="1:10">
      <c r="A164" s="77" t="s">
        <v>536</v>
      </c>
      <c r="B164" s="201" t="s">
        <v>365</v>
      </c>
      <c r="C164" s="201">
        <v>2000</v>
      </c>
      <c r="D164" s="78">
        <f>(B62*10%)*$C164*D$149</f>
        <v>0</v>
      </c>
      <c r="E164" s="78">
        <f t="shared" ref="E164:J164" si="27">(C62*10%)*$C164*E$149</f>
        <v>0</v>
      </c>
      <c r="F164" s="78">
        <f t="shared" si="27"/>
        <v>0</v>
      </c>
      <c r="G164" s="78">
        <f t="shared" si="27"/>
        <v>0</v>
      </c>
      <c r="H164" s="78">
        <f t="shared" si="27"/>
        <v>0</v>
      </c>
      <c r="I164" s="78">
        <f t="shared" si="27"/>
        <v>0</v>
      </c>
      <c r="J164" s="78">
        <f t="shared" si="27"/>
        <v>0</v>
      </c>
    </row>
    <row r="165" spans="1:10">
      <c r="A165" s="77" t="s">
        <v>321</v>
      </c>
      <c r="B165" s="201">
        <v>5</v>
      </c>
      <c r="C165" s="201">
        <v>300</v>
      </c>
      <c r="D165" s="78">
        <f t="shared" ref="D165:J165" si="28">B12*$B$165*$C$165*D149</f>
        <v>0</v>
      </c>
      <c r="E165" s="78">
        <f t="shared" si="28"/>
        <v>0</v>
      </c>
      <c r="F165" s="78">
        <f t="shared" si="28"/>
        <v>0</v>
      </c>
      <c r="G165" s="78">
        <f t="shared" si="28"/>
        <v>0</v>
      </c>
      <c r="H165" s="78">
        <f t="shared" si="28"/>
        <v>0</v>
      </c>
      <c r="I165" s="78">
        <f t="shared" si="28"/>
        <v>0</v>
      </c>
      <c r="J165" s="78">
        <f t="shared" si="28"/>
        <v>0</v>
      </c>
    </row>
    <row r="166" spans="1:10">
      <c r="A166" s="77" t="s">
        <v>145</v>
      </c>
      <c r="B166" s="77">
        <f>'2.Capex Details'!H45*0.746*8</f>
        <v>0</v>
      </c>
      <c r="C166" s="201">
        <v>8</v>
      </c>
      <c r="D166" s="78">
        <f t="shared" ref="D166:J166" si="29">$B$166*$C$166*B12*D149</f>
        <v>0</v>
      </c>
      <c r="E166" s="78">
        <f t="shared" si="29"/>
        <v>0</v>
      </c>
      <c r="F166" s="78">
        <f t="shared" si="29"/>
        <v>0</v>
      </c>
      <c r="G166" s="78">
        <f t="shared" si="29"/>
        <v>0</v>
      </c>
      <c r="H166" s="78">
        <f t="shared" si="29"/>
        <v>0</v>
      </c>
      <c r="I166" s="78">
        <f t="shared" si="29"/>
        <v>0</v>
      </c>
      <c r="J166" s="78">
        <f t="shared" si="29"/>
        <v>0</v>
      </c>
    </row>
    <row r="167" spans="1:10">
      <c r="A167" s="77" t="s">
        <v>295</v>
      </c>
      <c r="B167" s="77" t="s">
        <v>365</v>
      </c>
      <c r="C167" s="201">
        <v>10</v>
      </c>
      <c r="D167" s="78">
        <f>B62*$C167*D$149</f>
        <v>0</v>
      </c>
      <c r="E167" s="78">
        <f t="shared" ref="E167:J167" si="30">C62*$C167*E$149</f>
        <v>0</v>
      </c>
      <c r="F167" s="78">
        <f t="shared" si="30"/>
        <v>0</v>
      </c>
      <c r="G167" s="78">
        <f t="shared" si="30"/>
        <v>0</v>
      </c>
      <c r="H167" s="78">
        <f t="shared" si="30"/>
        <v>0</v>
      </c>
      <c r="I167" s="78">
        <f t="shared" si="30"/>
        <v>0</v>
      </c>
      <c r="J167" s="78">
        <f t="shared" si="30"/>
        <v>0</v>
      </c>
    </row>
    <row r="168" spans="1:10">
      <c r="A168" s="89" t="s">
        <v>296</v>
      </c>
      <c r="B168" s="89"/>
      <c r="C168" s="227">
        <v>2</v>
      </c>
      <c r="D168" s="78">
        <f>SUM(B141:B143)*$C$168*D$149</f>
        <v>0</v>
      </c>
      <c r="E168" s="78">
        <f t="shared" ref="E168:J168" si="31">SUM(C141:C143)*$C$168*E$149</f>
        <v>0</v>
      </c>
      <c r="F168" s="78">
        <f t="shared" si="31"/>
        <v>0</v>
      </c>
      <c r="G168" s="78">
        <f t="shared" si="31"/>
        <v>0</v>
      </c>
      <c r="H168" s="78">
        <f t="shared" si="31"/>
        <v>0</v>
      </c>
      <c r="I168" s="78">
        <f t="shared" si="31"/>
        <v>0</v>
      </c>
      <c r="J168" s="78">
        <f t="shared" si="31"/>
        <v>0</v>
      </c>
    </row>
    <row r="169" spans="1:10">
      <c r="A169" s="77" t="s">
        <v>297</v>
      </c>
      <c r="B169" s="77"/>
      <c r="C169" s="201">
        <v>1</v>
      </c>
      <c r="D169" s="78">
        <f>SUM(B141:B143)*$C$169*D$149</f>
        <v>0</v>
      </c>
      <c r="E169" s="78">
        <f t="shared" ref="E169:J169" si="32">SUM(C141:C143)*$C$169*E$149</f>
        <v>0</v>
      </c>
      <c r="F169" s="78">
        <f t="shared" si="32"/>
        <v>0</v>
      </c>
      <c r="G169" s="78">
        <f t="shared" si="32"/>
        <v>0</v>
      </c>
      <c r="H169" s="78">
        <f t="shared" si="32"/>
        <v>0</v>
      </c>
      <c r="I169" s="78">
        <f t="shared" si="32"/>
        <v>0</v>
      </c>
      <c r="J169" s="78">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9" t="s">
        <v>344</v>
      </c>
      <c r="B174" s="78"/>
      <c r="C174" s="78"/>
      <c r="D174" s="78">
        <v>0</v>
      </c>
      <c r="E174" s="78">
        <v>0</v>
      </c>
      <c r="F174" s="78">
        <v>0</v>
      </c>
      <c r="G174" s="78">
        <v>0</v>
      </c>
      <c r="H174" s="78">
        <v>0</v>
      </c>
      <c r="I174" s="78">
        <v>0</v>
      </c>
      <c r="J174" s="78">
        <v>0</v>
      </c>
    </row>
    <row r="175" spans="1:10">
      <c r="A175" s="169" t="s">
        <v>345</v>
      </c>
      <c r="B175" s="78"/>
      <c r="C175" s="78"/>
      <c r="D175" s="78">
        <v>0</v>
      </c>
      <c r="E175" s="78">
        <v>0</v>
      </c>
      <c r="F175" s="78">
        <v>0</v>
      </c>
      <c r="G175" s="78">
        <v>0</v>
      </c>
      <c r="H175" s="78">
        <v>0</v>
      </c>
      <c r="I175" s="78">
        <v>0</v>
      </c>
      <c r="J175" s="78">
        <v>0</v>
      </c>
    </row>
    <row r="176" spans="1:10">
      <c r="A176" s="78"/>
      <c r="B176" s="78"/>
      <c r="C176" s="78"/>
      <c r="D176" s="78"/>
      <c r="E176" s="78"/>
      <c r="F176" s="78"/>
      <c r="G176" s="78"/>
      <c r="H176" s="78"/>
      <c r="I176" s="78"/>
      <c r="J176" s="78"/>
    </row>
    <row r="177" spans="1:10">
      <c r="A177" s="95" t="s">
        <v>322</v>
      </c>
      <c r="B177" s="78"/>
      <c r="C177" s="78"/>
      <c r="D177" s="95">
        <f t="shared" ref="D177:J177" si="33">SUM(D163:D174)-D175</f>
        <v>0</v>
      </c>
      <c r="E177" s="95">
        <f t="shared" si="33"/>
        <v>0</v>
      </c>
      <c r="F177" s="95">
        <f t="shared" si="33"/>
        <v>0</v>
      </c>
      <c r="G177" s="95">
        <f t="shared" si="33"/>
        <v>0</v>
      </c>
      <c r="H177" s="95">
        <f t="shared" si="33"/>
        <v>0</v>
      </c>
      <c r="I177" s="95">
        <f t="shared" si="33"/>
        <v>0</v>
      </c>
      <c r="J177" s="95">
        <f t="shared" si="33"/>
        <v>0</v>
      </c>
    </row>
    <row r="178" spans="1:10">
      <c r="A178" s="76"/>
      <c r="B178" s="76"/>
      <c r="C178" s="76"/>
      <c r="D178" s="76"/>
      <c r="E178" s="76"/>
      <c r="F178" s="76"/>
      <c r="G178" s="76"/>
      <c r="H178" s="76"/>
      <c r="I178" s="76"/>
      <c r="J178" s="76"/>
    </row>
    <row r="179" spans="1:10">
      <c r="A179" s="170" t="s">
        <v>310</v>
      </c>
      <c r="B179" s="170"/>
      <c r="C179" s="170"/>
      <c r="D179" s="95"/>
      <c r="E179" s="95"/>
      <c r="F179" s="95"/>
      <c r="G179" s="95"/>
      <c r="H179" s="95"/>
      <c r="I179" s="95"/>
      <c r="J179" s="95"/>
    </row>
    <row r="180" spans="1:10">
      <c r="A180" s="77" t="s">
        <v>188</v>
      </c>
      <c r="B180" s="201">
        <v>1</v>
      </c>
      <c r="C180" s="225"/>
      <c r="D180" s="78">
        <f t="shared" ref="D180:J180" si="34">$B$180*$C$180*12*D149</f>
        <v>0</v>
      </c>
      <c r="E180" s="78">
        <f t="shared" si="34"/>
        <v>0</v>
      </c>
      <c r="F180" s="78">
        <f t="shared" si="34"/>
        <v>0</v>
      </c>
      <c r="G180" s="78">
        <f t="shared" si="34"/>
        <v>0</v>
      </c>
      <c r="H180" s="78">
        <f t="shared" si="34"/>
        <v>0</v>
      </c>
      <c r="I180" s="78">
        <f t="shared" si="34"/>
        <v>0</v>
      </c>
      <c r="J180" s="78">
        <f t="shared" si="34"/>
        <v>0</v>
      </c>
    </row>
    <row r="181" spans="1:10">
      <c r="A181" s="77" t="s">
        <v>192</v>
      </c>
      <c r="B181" s="201">
        <v>2</v>
      </c>
      <c r="C181" s="225"/>
      <c r="D181" s="78">
        <f t="shared" ref="D181:J181" si="35">$B$181*$C$181*12*D149</f>
        <v>0</v>
      </c>
      <c r="E181" s="78">
        <f t="shared" si="35"/>
        <v>0</v>
      </c>
      <c r="F181" s="78">
        <f t="shared" si="35"/>
        <v>0</v>
      </c>
      <c r="G181" s="78">
        <f t="shared" si="35"/>
        <v>0</v>
      </c>
      <c r="H181" s="78">
        <f t="shared" si="35"/>
        <v>0</v>
      </c>
      <c r="I181" s="78">
        <f t="shared" si="35"/>
        <v>0</v>
      </c>
      <c r="J181" s="78">
        <f t="shared" si="35"/>
        <v>0</v>
      </c>
    </row>
    <row r="182" spans="1:10">
      <c r="A182" s="77"/>
      <c r="B182" s="201"/>
      <c r="C182" s="225"/>
      <c r="D182" s="78"/>
      <c r="E182" s="78"/>
      <c r="F182" s="78"/>
      <c r="G182" s="78"/>
      <c r="H182" s="78"/>
      <c r="I182" s="78"/>
      <c r="J182" s="78"/>
    </row>
    <row r="183" spans="1:10">
      <c r="A183" s="77"/>
      <c r="B183" s="201"/>
      <c r="C183" s="225"/>
      <c r="D183" s="78"/>
      <c r="E183" s="78"/>
      <c r="F183" s="78"/>
      <c r="G183" s="78"/>
      <c r="H183" s="78"/>
      <c r="I183" s="78"/>
      <c r="J183" s="78"/>
    </row>
    <row r="184" spans="1:10">
      <c r="A184" s="77"/>
      <c r="B184" s="201"/>
      <c r="C184" s="225"/>
      <c r="D184" s="78"/>
      <c r="E184" s="78"/>
      <c r="F184" s="78"/>
      <c r="G184" s="78"/>
      <c r="H184" s="78"/>
      <c r="I184" s="78"/>
      <c r="J184" s="78"/>
    </row>
    <row r="185" spans="1:10">
      <c r="A185" s="79" t="s">
        <v>310</v>
      </c>
      <c r="B185" s="79"/>
      <c r="C185" s="79"/>
      <c r="D185" s="95">
        <f>SUM(D180:D184)</f>
        <v>0</v>
      </c>
      <c r="E185" s="95">
        <f t="shared" ref="E185:J185" si="36">SUM(E180:E184)</f>
        <v>0</v>
      </c>
      <c r="F185" s="95">
        <f t="shared" si="36"/>
        <v>0</v>
      </c>
      <c r="G185" s="95">
        <f t="shared" si="36"/>
        <v>0</v>
      </c>
      <c r="H185" s="95">
        <f t="shared" si="36"/>
        <v>0</v>
      </c>
      <c r="I185" s="95">
        <f t="shared" si="36"/>
        <v>0</v>
      </c>
      <c r="J185" s="95">
        <f t="shared" si="36"/>
        <v>0</v>
      </c>
    </row>
    <row r="186" spans="1:10">
      <c r="A186" s="170" t="s">
        <v>298</v>
      </c>
      <c r="B186" s="170"/>
      <c r="C186" s="170"/>
      <c r="D186" s="95">
        <f>D177+D185</f>
        <v>0</v>
      </c>
      <c r="E186" s="95">
        <f t="shared" ref="E186:J186" si="37">E177+E185</f>
        <v>0</v>
      </c>
      <c r="F186" s="95">
        <f t="shared" si="37"/>
        <v>0</v>
      </c>
      <c r="G186" s="95">
        <f t="shared" si="37"/>
        <v>0</v>
      </c>
      <c r="H186" s="95">
        <f t="shared" si="37"/>
        <v>0</v>
      </c>
      <c r="I186" s="95">
        <f t="shared" si="37"/>
        <v>0</v>
      </c>
      <c r="J186" s="95">
        <f t="shared" si="37"/>
        <v>0</v>
      </c>
    </row>
    <row r="187" spans="1:10">
      <c r="A187" s="77"/>
      <c r="B187" s="77"/>
      <c r="C187" s="77"/>
      <c r="D187" s="78"/>
      <c r="E187" s="78"/>
      <c r="F187" s="78"/>
      <c r="G187" s="78"/>
      <c r="H187" s="78"/>
      <c r="I187" s="78"/>
      <c r="J187" s="78"/>
    </row>
    <row r="188" spans="1:10">
      <c r="A188" s="79" t="s">
        <v>7</v>
      </c>
      <c r="B188" s="79"/>
      <c r="C188" s="79"/>
      <c r="D188" s="95">
        <f t="shared" ref="D188:J188" si="38">D159-D186</f>
        <v>0</v>
      </c>
      <c r="E188" s="95">
        <f t="shared" si="38"/>
        <v>0</v>
      </c>
      <c r="F188" s="95">
        <f t="shared" si="38"/>
        <v>0</v>
      </c>
      <c r="G188" s="95">
        <f t="shared" si="38"/>
        <v>0</v>
      </c>
      <c r="H188" s="95">
        <f t="shared" si="38"/>
        <v>0</v>
      </c>
      <c r="I188" s="95">
        <f t="shared" si="38"/>
        <v>0</v>
      </c>
      <c r="J188" s="95">
        <f t="shared" si="38"/>
        <v>0</v>
      </c>
    </row>
    <row r="189" spans="1:10">
      <c r="A189" s="96"/>
      <c r="B189" s="96"/>
      <c r="C189" s="96"/>
      <c r="D189" s="76"/>
      <c r="E189" s="76"/>
      <c r="F189" s="76"/>
      <c r="G189" s="76"/>
      <c r="H189" s="76"/>
      <c r="I189" s="76"/>
      <c r="J189" s="76"/>
    </row>
    <row r="190" spans="1:10">
      <c r="A190" s="76"/>
      <c r="B190" s="76"/>
      <c r="C190" s="76"/>
      <c r="D190" s="76"/>
      <c r="E190" s="76"/>
      <c r="F190" s="76"/>
      <c r="G190" s="76"/>
      <c r="H190" s="76"/>
      <c r="I190" s="76"/>
      <c r="J190" s="76"/>
    </row>
    <row r="191" spans="1:10">
      <c r="A191" s="76"/>
      <c r="B191" s="76"/>
      <c r="C191" s="76"/>
      <c r="D191" s="76"/>
      <c r="E191" s="76"/>
      <c r="F191" s="76"/>
      <c r="G191" s="76"/>
      <c r="H191" s="76"/>
      <c r="I191" s="76"/>
      <c r="J191" s="76"/>
    </row>
    <row r="192" spans="1:10">
      <c r="A192" s="364" t="s">
        <v>430</v>
      </c>
      <c r="B192" s="364"/>
      <c r="C192" s="364"/>
      <c r="D192" s="364"/>
      <c r="E192" s="364"/>
      <c r="F192" s="364"/>
      <c r="G192" s="364"/>
      <c r="H192" s="364"/>
      <c r="I192" s="364"/>
      <c r="J192" s="364"/>
    </row>
    <row r="194" spans="1:5">
      <c r="A194" t="s">
        <v>542</v>
      </c>
    </row>
    <row r="195" spans="1:5">
      <c r="A195">
        <v>1</v>
      </c>
      <c r="B195" t="s">
        <v>555</v>
      </c>
    </row>
    <row r="196" spans="1:5">
      <c r="A196">
        <v>2</v>
      </c>
      <c r="B196" t="s">
        <v>556</v>
      </c>
      <c r="C196" s="53"/>
      <c r="D196" s="53"/>
      <c r="E196" s="53"/>
    </row>
    <row r="197" spans="1:5">
      <c r="A197">
        <v>3</v>
      </c>
      <c r="B197" s="76" t="s">
        <v>606</v>
      </c>
    </row>
  </sheetData>
  <mergeCells count="4">
    <mergeCell ref="A3:H3"/>
    <mergeCell ref="A147:J147"/>
    <mergeCell ref="A192:J192"/>
    <mergeCell ref="A4:H4"/>
  </mergeCells>
  <pageMargins left="0.7" right="0.7" top="0.75" bottom="0.75" header="0.3" footer="0.3"/>
  <pageSetup paperSize="9" scale="65" orientation="landscape" r:id="rId1"/>
  <rowBreaks count="1" manualBreakCount="1">
    <brk id="141"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topLeftCell="A10" zoomScaleSheetLayoutView="100" workbookViewId="0">
      <selection activeCell="D28" sqref="D28"/>
    </sheetView>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362" t="s">
        <v>559</v>
      </c>
      <c r="C2" s="362"/>
      <c r="D2" s="362"/>
      <c r="E2" s="362"/>
      <c r="F2" s="362"/>
    </row>
    <row r="4" spans="1:13">
      <c r="B4" s="298" t="s">
        <v>146</v>
      </c>
      <c r="C4" s="298" t="s">
        <v>128</v>
      </c>
      <c r="D4" s="298" t="s">
        <v>158</v>
      </c>
      <c r="E4" s="303" t="s">
        <v>469</v>
      </c>
      <c r="F4" s="303" t="s">
        <v>470</v>
      </c>
    </row>
    <row r="5" spans="1:13">
      <c r="B5" s="299">
        <v>1</v>
      </c>
      <c r="C5" s="300" t="str">
        <f>'2.Capex Details'!B2</f>
        <v>Land and Building</v>
      </c>
      <c r="D5" s="304">
        <f>'2.Capex Details'!G11</f>
        <v>12472120</v>
      </c>
      <c r="E5" s="305">
        <v>0.6</v>
      </c>
      <c r="F5" s="306">
        <f>D5*E5</f>
        <v>7483272</v>
      </c>
    </row>
    <row r="6" spans="1:13">
      <c r="B6" s="299">
        <v>2</v>
      </c>
      <c r="C6" s="300" t="str">
        <f>'2.Capex Details'!B16</f>
        <v>Machinery and Equipment</v>
      </c>
      <c r="D6" s="304">
        <f>'2.Capex Details'!G47</f>
        <v>12310000</v>
      </c>
      <c r="E6" s="305">
        <v>0.6</v>
      </c>
      <c r="F6" s="306">
        <f t="shared" ref="F6:F10" si="0">D6*E6</f>
        <v>7386000</v>
      </c>
    </row>
    <row r="7" spans="1:13">
      <c r="B7" s="299">
        <v>3</v>
      </c>
      <c r="C7" s="300" t="str">
        <f>'2.Capex Details'!B53</f>
        <v>Furniture and Fixture</v>
      </c>
      <c r="D7" s="304">
        <f>'2.Capex Details'!F62</f>
        <v>0</v>
      </c>
      <c r="E7" s="305">
        <v>0.6</v>
      </c>
      <c r="F7" s="306">
        <f t="shared" si="0"/>
        <v>0</v>
      </c>
    </row>
    <row r="8" spans="1:13">
      <c r="B8" s="299">
        <v>4</v>
      </c>
      <c r="C8" s="300" t="str">
        <f>'2.Capex Details'!B67</f>
        <v>IT &amp; It Infrastracture</v>
      </c>
      <c r="D8" s="304">
        <f>'2.Capex Details'!F76</f>
        <v>0</v>
      </c>
      <c r="E8" s="305">
        <v>0.6</v>
      </c>
      <c r="F8" s="306">
        <f t="shared" si="0"/>
        <v>0</v>
      </c>
    </row>
    <row r="9" spans="1:13" ht="25.5">
      <c r="B9" s="299">
        <v>5</v>
      </c>
      <c r="C9" s="300" t="str">
        <f>'2.Capex Details'!B81</f>
        <v>Transport vehical  (Refer van and other)</v>
      </c>
      <c r="D9" s="304">
        <f>'2.Capex Details'!F87</f>
        <v>0</v>
      </c>
      <c r="E9" s="305">
        <v>0.6</v>
      </c>
      <c r="F9" s="306">
        <f t="shared" si="0"/>
        <v>0</v>
      </c>
    </row>
    <row r="10" spans="1:13">
      <c r="B10" s="299">
        <v>6</v>
      </c>
      <c r="C10" s="300" t="str">
        <f>'2.Capex Details'!B91</f>
        <v>Preliminary Expenses</v>
      </c>
      <c r="D10" s="304">
        <f>'2.Capex Details'!D99</f>
        <v>1250000</v>
      </c>
      <c r="E10" s="305">
        <v>0.6</v>
      </c>
      <c r="F10" s="306">
        <f t="shared" si="0"/>
        <v>750000</v>
      </c>
      <c r="J10">
        <f>8/5*100</f>
        <v>160</v>
      </c>
      <c r="L10" t="s">
        <v>422</v>
      </c>
    </row>
    <row r="11" spans="1:13">
      <c r="B11" s="299">
        <v>7</v>
      </c>
      <c r="C11" s="300" t="s">
        <v>156</v>
      </c>
      <c r="D11" s="304">
        <f>'5.Closing Stock &amp; W Capital'!E56</f>
        <v>1722024.1928192878</v>
      </c>
      <c r="E11" s="307"/>
      <c r="F11" s="307"/>
    </row>
    <row r="12" spans="1:13">
      <c r="B12" s="363" t="s">
        <v>1</v>
      </c>
      <c r="C12" s="363"/>
      <c r="D12" s="308">
        <f>SUM(D5:D11)</f>
        <v>27754144.192819286</v>
      </c>
      <c r="E12" s="307"/>
      <c r="F12" s="308">
        <f>SUM(F5:F11)</f>
        <v>15619272</v>
      </c>
    </row>
    <row r="13" spans="1:13">
      <c r="D13" s="18"/>
      <c r="I13">
        <f>270*5%</f>
        <v>13.5</v>
      </c>
      <c r="J13">
        <f>148*5</f>
        <v>740</v>
      </c>
      <c r="M13">
        <v>48</v>
      </c>
    </row>
    <row r="14" spans="1:13" ht="25.5" customHeight="1">
      <c r="A14" s="365" t="s">
        <v>423</v>
      </c>
      <c r="B14" s="365"/>
      <c r="C14" s="365"/>
      <c r="D14" s="365"/>
      <c r="E14" s="365"/>
      <c r="F14" s="365"/>
      <c r="M14">
        <v>11.64</v>
      </c>
    </row>
    <row r="15" spans="1:13">
      <c r="M15">
        <f>M13+M14</f>
        <v>59.64</v>
      </c>
    </row>
    <row r="16" spans="1:13" ht="18.75">
      <c r="B16" s="362" t="s">
        <v>560</v>
      </c>
      <c r="C16" s="362"/>
      <c r="D16" s="362"/>
      <c r="E16" s="362"/>
      <c r="F16" s="362"/>
      <c r="M16">
        <v>19.05</v>
      </c>
    </row>
    <row r="17" spans="2:13">
      <c r="M17">
        <f>M15+M16</f>
        <v>78.69</v>
      </c>
    </row>
    <row r="18" spans="2:13">
      <c r="B18" s="297" t="s">
        <v>146</v>
      </c>
      <c r="C18" s="298" t="s">
        <v>128</v>
      </c>
      <c r="D18" s="298" t="s">
        <v>653</v>
      </c>
      <c r="E18" s="298" t="s">
        <v>158</v>
      </c>
    </row>
    <row r="19" spans="2:13" ht="25.5">
      <c r="B19" s="299">
        <v>1</v>
      </c>
      <c r="C19" s="300" t="s">
        <v>334</v>
      </c>
      <c r="D19" s="335"/>
      <c r="E19" s="301">
        <f>F12</f>
        <v>15619272</v>
      </c>
    </row>
    <row r="20" spans="2:13">
      <c r="B20" s="299">
        <v>2</v>
      </c>
      <c r="C20" s="300" t="s">
        <v>157</v>
      </c>
      <c r="D20" s="330">
        <v>0.2</v>
      </c>
      <c r="E20" s="301">
        <f>SUM(D5:D9)*D20</f>
        <v>4956424</v>
      </c>
    </row>
    <row r="21" spans="2:13">
      <c r="B21" s="299">
        <v>3</v>
      </c>
      <c r="C21" s="300" t="s">
        <v>135</v>
      </c>
      <c r="D21" s="301"/>
      <c r="E21" s="301">
        <f>D12-E19-E20</f>
        <v>7178448.1928192861</v>
      </c>
    </row>
    <row r="22" spans="2:13">
      <c r="B22" s="363" t="s">
        <v>1</v>
      </c>
      <c r="C22" s="363"/>
      <c r="D22" s="302"/>
      <c r="E22" s="302">
        <f>SUM(E19:E21)</f>
        <v>27754144.192819286</v>
      </c>
    </row>
    <row r="24" spans="2:13">
      <c r="B24" s="364" t="s">
        <v>424</v>
      </c>
      <c r="C24" s="364"/>
      <c r="D24" s="364"/>
      <c r="E24" s="364"/>
      <c r="F24" s="364"/>
    </row>
    <row r="26" spans="2:13" ht="18.75">
      <c r="B26" s="362" t="s">
        <v>561</v>
      </c>
      <c r="C26" s="362"/>
      <c r="D26" s="362"/>
      <c r="E26" s="362"/>
      <c r="F26" s="362"/>
    </row>
    <row r="27" spans="2:13">
      <c r="B27" s="309" t="s">
        <v>146</v>
      </c>
      <c r="C27" s="310" t="s">
        <v>609</v>
      </c>
      <c r="D27" s="311" t="s">
        <v>610</v>
      </c>
      <c r="E27" s="312" t="s">
        <v>611</v>
      </c>
      <c r="F27" s="360" t="s">
        <v>612</v>
      </c>
      <c r="G27" s="361"/>
    </row>
    <row r="28" spans="2:13" ht="25.5">
      <c r="B28" s="313">
        <v>1</v>
      </c>
      <c r="C28" s="300" t="s">
        <v>381</v>
      </c>
      <c r="D28" s="314">
        <f>'9. Financial indiacators'!C49</f>
        <v>0.41825503918339774</v>
      </c>
      <c r="E28" s="313" t="s">
        <v>382</v>
      </c>
      <c r="F28" s="320" t="s">
        <v>613</v>
      </c>
      <c r="G28" s="313" t="s">
        <v>383</v>
      </c>
    </row>
    <row r="29" spans="2:13" ht="38.25">
      <c r="B29" s="313">
        <v>2</v>
      </c>
      <c r="C29" s="300" t="s">
        <v>384</v>
      </c>
      <c r="D29" s="315">
        <f>'9. Financial indiacators'!C85</f>
        <v>0.20215857475340918</v>
      </c>
      <c r="E29" s="313" t="s">
        <v>382</v>
      </c>
      <c r="F29" s="320" t="s">
        <v>614</v>
      </c>
      <c r="G29" s="313" t="s">
        <v>385</v>
      </c>
    </row>
    <row r="30" spans="2:13" ht="38.25">
      <c r="B30" s="313">
        <v>3</v>
      </c>
      <c r="C30" s="300" t="s">
        <v>386</v>
      </c>
      <c r="D30" s="314">
        <f>'9. Financial indiacators'!C16</f>
        <v>0.11246247786861141</v>
      </c>
      <c r="E30" s="313" t="s">
        <v>382</v>
      </c>
      <c r="F30" s="320" t="s">
        <v>615</v>
      </c>
      <c r="G30" s="313" t="s">
        <v>387</v>
      </c>
    </row>
    <row r="31" spans="2:13" ht="63.75">
      <c r="B31" s="313">
        <v>4</v>
      </c>
      <c r="C31" s="300" t="s">
        <v>388</v>
      </c>
      <c r="D31" s="316">
        <f>'9. Financial indiacators'!C73</f>
        <v>1331570.2253530659</v>
      </c>
      <c r="E31" s="313" t="s">
        <v>392</v>
      </c>
      <c r="F31" s="320" t="s">
        <v>616</v>
      </c>
      <c r="G31" s="313" t="s">
        <v>389</v>
      </c>
    </row>
    <row r="32" spans="2:13" ht="38.25">
      <c r="B32" s="313">
        <v>5</v>
      </c>
      <c r="C32" s="300" t="s">
        <v>390</v>
      </c>
      <c r="D32" s="317">
        <f>'9. Financial indiacators'!D101</f>
        <v>5.0993096260777468</v>
      </c>
      <c r="E32" s="313" t="s">
        <v>382</v>
      </c>
      <c r="F32" s="320" t="s">
        <v>617</v>
      </c>
      <c r="G32" s="313" t="s">
        <v>393</v>
      </c>
    </row>
    <row r="33" spans="2:7" ht="38.25">
      <c r="B33" s="313">
        <v>6</v>
      </c>
      <c r="C33" s="318" t="s">
        <v>391</v>
      </c>
      <c r="D33" s="317">
        <f>'9. Financial indiacators'!C119</f>
        <v>2.4890515084063254</v>
      </c>
      <c r="E33" s="319" t="s">
        <v>382</v>
      </c>
      <c r="F33" s="320" t="s">
        <v>618</v>
      </c>
      <c r="G33" s="318" t="s">
        <v>394</v>
      </c>
    </row>
  </sheetData>
  <mergeCells count="8">
    <mergeCell ref="F27:G27"/>
    <mergeCell ref="B26:F26"/>
    <mergeCell ref="B12:C12"/>
    <mergeCell ref="B22:C22"/>
    <mergeCell ref="B2:F2"/>
    <mergeCell ref="B16:F16"/>
    <mergeCell ref="B24:F24"/>
    <mergeCell ref="A14:F14"/>
  </mergeCells>
  <conditionalFormatting sqref="D23">
    <cfRule type="cellIs" dxfId="1"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28"/>
  <sheetViews>
    <sheetView view="pageBreakPreview" topLeftCell="A16" zoomScaleSheetLayoutView="100" workbookViewId="0"/>
  </sheetViews>
  <sheetFormatPr defaultRowHeight="15"/>
  <cols>
    <col min="2" max="2" width="7.5703125" bestFit="1" customWidth="1"/>
    <col min="3" max="3" width="41.5703125" customWidth="1"/>
    <col min="4" max="4" width="12.7109375" customWidth="1"/>
    <col min="5" max="5" width="17" customWidth="1"/>
    <col min="6" max="6" width="14" bestFit="1" customWidth="1"/>
    <col min="7" max="7" width="13.42578125" customWidth="1"/>
    <col min="8" max="8" width="11.5703125" bestFit="1" customWidth="1"/>
    <col min="10" max="10" width="12.28515625" bestFit="1" customWidth="1"/>
    <col min="11" max="11" width="13.85546875" bestFit="1" customWidth="1"/>
  </cols>
  <sheetData>
    <row r="2" spans="1:13" ht="18.75">
      <c r="A2">
        <v>2.1</v>
      </c>
      <c r="B2" s="362" t="s">
        <v>154</v>
      </c>
      <c r="C2" s="362"/>
      <c r="D2" s="362"/>
      <c r="E2" s="362"/>
      <c r="F2" s="362"/>
      <c r="G2" s="362"/>
    </row>
    <row r="3" spans="1:13">
      <c r="K3">
        <f>11900*L3</f>
        <v>5972118.9591078069</v>
      </c>
      <c r="L3">
        <f>3000/10.76*1.8</f>
        <v>501.85873605947961</v>
      </c>
    </row>
    <row r="4" spans="1:13" ht="28.5">
      <c r="B4" s="184" t="s">
        <v>146</v>
      </c>
      <c r="C4" s="184" t="s">
        <v>128</v>
      </c>
      <c r="D4" s="184" t="s">
        <v>133</v>
      </c>
      <c r="E4" s="184" t="s">
        <v>147</v>
      </c>
      <c r="F4" s="184" t="s">
        <v>148</v>
      </c>
      <c r="G4" s="184" t="s">
        <v>158</v>
      </c>
    </row>
    <row r="5" spans="1:13">
      <c r="B5" s="231">
        <v>1</v>
      </c>
      <c r="C5" s="231" t="s">
        <v>149</v>
      </c>
      <c r="D5" s="231"/>
      <c r="E5" s="321"/>
      <c r="F5" s="322"/>
      <c r="G5" s="323"/>
    </row>
    <row r="6" spans="1:13" ht="45">
      <c r="B6" s="231">
        <v>2</v>
      </c>
      <c r="C6" s="231" t="s">
        <v>721</v>
      </c>
      <c r="D6" s="232" t="s">
        <v>707</v>
      </c>
      <c r="E6" s="199">
        <v>1</v>
      </c>
      <c r="F6" s="199">
        <f>5000*1300</f>
        <v>6500000</v>
      </c>
      <c r="G6" s="200">
        <f t="shared" ref="G6:G10" si="0">E6*F6</f>
        <v>6500000</v>
      </c>
      <c r="J6" s="53">
        <f>G6/1800</f>
        <v>3611.1111111111113</v>
      </c>
      <c r="L6">
        <f>11000/10.76*1.8</f>
        <v>1840.1486988847585</v>
      </c>
      <c r="M6">
        <f>12500+10500</f>
        <v>23000</v>
      </c>
    </row>
    <row r="7" spans="1:13">
      <c r="B7" s="231"/>
      <c r="C7" s="231"/>
      <c r="D7" s="232"/>
      <c r="E7" s="199"/>
      <c r="F7" s="199"/>
      <c r="G7" s="200"/>
    </row>
    <row r="8" spans="1:13">
      <c r="B8" s="231">
        <v>3</v>
      </c>
      <c r="C8" s="231" t="s">
        <v>722</v>
      </c>
      <c r="D8" s="232" t="s">
        <v>723</v>
      </c>
      <c r="E8" s="199">
        <v>1</v>
      </c>
      <c r="F8" s="199">
        <v>5972120</v>
      </c>
      <c r="G8" s="200">
        <f>F8</f>
        <v>5972120</v>
      </c>
      <c r="J8">
        <f>5316000/500</f>
        <v>10632</v>
      </c>
    </row>
    <row r="9" spans="1:13">
      <c r="B9" s="231"/>
      <c r="C9" s="231"/>
      <c r="D9" s="232"/>
      <c r="E9" s="199"/>
      <c r="F9" s="199"/>
      <c r="G9" s="200">
        <f>F9</f>
        <v>0</v>
      </c>
      <c r="J9">
        <f>5316000/500</f>
        <v>10632</v>
      </c>
    </row>
    <row r="10" spans="1:13">
      <c r="B10" s="231"/>
      <c r="C10" s="231"/>
      <c r="D10" s="232"/>
      <c r="E10" s="199"/>
      <c r="F10" s="199"/>
      <c r="G10" s="200">
        <f t="shared" si="0"/>
        <v>0</v>
      </c>
      <c r="J10">
        <f>2000/1.8*10.76</f>
        <v>11955.555555555555</v>
      </c>
    </row>
    <row r="11" spans="1:13">
      <c r="B11" s="373" t="s">
        <v>1</v>
      </c>
      <c r="C11" s="373"/>
      <c r="D11" s="373"/>
      <c r="E11" s="373"/>
      <c r="F11" s="373"/>
      <c r="G11" s="198">
        <f>SUM(G6:G10)</f>
        <v>12472120</v>
      </c>
      <c r="K11">
        <f>5000*1300</f>
        <v>6500000</v>
      </c>
    </row>
    <row r="14" spans="1:13">
      <c r="B14" s="364" t="s">
        <v>418</v>
      </c>
      <c r="C14" s="364"/>
      <c r="D14" s="364"/>
      <c r="E14" s="364"/>
      <c r="F14" s="364"/>
      <c r="G14" s="364"/>
      <c r="M14">
        <f>1800/1.8</f>
        <v>1000</v>
      </c>
    </row>
    <row r="15" spans="1:13">
      <c r="M15">
        <f>M14*10.76</f>
        <v>10760</v>
      </c>
    </row>
    <row r="16" spans="1:13" ht="18.75">
      <c r="A16">
        <v>2.2000000000000002</v>
      </c>
      <c r="B16" s="362" t="s">
        <v>155</v>
      </c>
      <c r="C16" s="362"/>
      <c r="D16" s="362"/>
      <c r="E16" s="362"/>
      <c r="F16" s="362"/>
      <c r="G16" s="362"/>
      <c r="H16" s="362"/>
      <c r="J16">
        <f>19137600/11000</f>
        <v>1739.7818181818182</v>
      </c>
      <c r="M16">
        <f>M15/10.76*1.8</f>
        <v>1800</v>
      </c>
    </row>
    <row r="17" spans="2:11">
      <c r="B17" s="13"/>
    </row>
    <row r="18" spans="2:11" ht="28.5">
      <c r="B18" s="184" t="s">
        <v>146</v>
      </c>
      <c r="C18" s="184" t="s">
        <v>150</v>
      </c>
      <c r="D18" s="184" t="s">
        <v>161</v>
      </c>
      <c r="E18" s="184" t="s">
        <v>151</v>
      </c>
      <c r="F18" s="184" t="s">
        <v>152</v>
      </c>
      <c r="G18" s="184" t="s">
        <v>158</v>
      </c>
      <c r="H18" s="184" t="s">
        <v>153</v>
      </c>
    </row>
    <row r="19" spans="2:11">
      <c r="B19" s="208"/>
      <c r="C19" s="201"/>
      <c r="D19" s="201"/>
      <c r="E19" s="201"/>
      <c r="F19" s="201"/>
      <c r="G19" s="202"/>
      <c r="H19" s="201"/>
    </row>
    <row r="20" spans="2:11">
      <c r="B20" s="204" t="s">
        <v>173</v>
      </c>
      <c r="C20" s="203" t="s">
        <v>367</v>
      </c>
      <c r="D20" s="203"/>
      <c r="E20" s="204"/>
      <c r="F20" s="205"/>
      <c r="G20" s="202">
        <f t="shared" ref="G20" si="1">E20*F20</f>
        <v>0</v>
      </c>
      <c r="H20" s="206"/>
    </row>
    <row r="21" spans="2:11">
      <c r="B21" s="208"/>
      <c r="C21" s="209"/>
      <c r="D21" s="209"/>
      <c r="E21" s="208"/>
      <c r="F21" s="337"/>
      <c r="G21" s="202"/>
      <c r="H21" s="206"/>
      <c r="J21">
        <f>100*50</f>
        <v>5000</v>
      </c>
    </row>
    <row r="22" spans="2:11">
      <c r="B22" s="208"/>
      <c r="C22" s="209"/>
      <c r="D22" s="209"/>
      <c r="E22" s="208"/>
      <c r="F22" s="337"/>
      <c r="G22" s="202"/>
      <c r="H22" s="201"/>
      <c r="K22">
        <f>3900000/3000</f>
        <v>1300</v>
      </c>
    </row>
    <row r="23" spans="2:11">
      <c r="B23" s="208"/>
      <c r="C23" s="209"/>
      <c r="D23" s="209"/>
      <c r="E23" s="208"/>
      <c r="F23" s="337"/>
      <c r="G23" s="202"/>
      <c r="H23" s="201"/>
    </row>
    <row r="24" spans="2:11">
      <c r="B24" s="208"/>
      <c r="C24" s="209"/>
      <c r="D24" s="209"/>
      <c r="E24" s="208"/>
      <c r="F24" s="337"/>
      <c r="G24" s="202"/>
      <c r="H24" s="201"/>
    </row>
    <row r="25" spans="2:11">
      <c r="B25" s="208"/>
      <c r="C25" s="209"/>
      <c r="D25" s="209"/>
      <c r="E25" s="208"/>
      <c r="F25" s="337"/>
      <c r="G25" s="202"/>
      <c r="H25" s="201"/>
    </row>
    <row r="26" spans="2:11">
      <c r="B26" s="369" t="s">
        <v>171</v>
      </c>
      <c r="C26" s="369"/>
      <c r="D26" s="204"/>
      <c r="E26" s="204"/>
      <c r="F26" s="207"/>
      <c r="G26" s="207">
        <f>SUM(G20:G25)</f>
        <v>0</v>
      </c>
      <c r="H26" s="202">
        <f>SUM(H20:H24)</f>
        <v>0</v>
      </c>
    </row>
    <row r="27" spans="2:11">
      <c r="B27" s="204" t="s">
        <v>174</v>
      </c>
      <c r="C27" s="203" t="s">
        <v>141</v>
      </c>
      <c r="D27" s="208"/>
      <c r="E27" s="208"/>
      <c r="F27" s="202"/>
      <c r="G27" s="202"/>
      <c r="H27" s="201"/>
    </row>
    <row r="28" spans="2:11">
      <c r="B28" s="208"/>
      <c r="C28" s="209"/>
      <c r="D28" s="209"/>
      <c r="E28" s="208"/>
      <c r="F28" s="202"/>
      <c r="G28" s="202">
        <f t="shared" ref="G28:G29" si="2">E28*F28</f>
        <v>0</v>
      </c>
      <c r="H28" s="201"/>
    </row>
    <row r="29" spans="2:11">
      <c r="B29" s="208"/>
      <c r="C29" s="209"/>
      <c r="D29" s="208"/>
      <c r="E29" s="208"/>
      <c r="F29" s="202"/>
      <c r="G29" s="202">
        <f t="shared" si="2"/>
        <v>0</v>
      </c>
      <c r="H29" s="201"/>
    </row>
    <row r="30" spans="2:11">
      <c r="B30" s="208"/>
      <c r="C30" s="209"/>
      <c r="D30" s="208"/>
      <c r="E30" s="208"/>
      <c r="F30" s="202"/>
      <c r="G30" s="202">
        <f t="shared" ref="G30" si="3">F30</f>
        <v>0</v>
      </c>
      <c r="H30" s="201"/>
    </row>
    <row r="31" spans="2:11">
      <c r="B31" s="369" t="s">
        <v>171</v>
      </c>
      <c r="C31" s="369"/>
      <c r="D31" s="204"/>
      <c r="E31" s="204"/>
      <c r="F31" s="207"/>
      <c r="G31" s="207">
        <f>SUM(G28:G30)</f>
        <v>0</v>
      </c>
      <c r="H31" s="207">
        <f>SUM(H28:H30)</f>
        <v>0</v>
      </c>
    </row>
    <row r="32" spans="2:11">
      <c r="B32" s="208"/>
      <c r="C32" s="209"/>
      <c r="D32" s="208"/>
      <c r="E32" s="208"/>
      <c r="F32" s="202"/>
      <c r="G32" s="202"/>
      <c r="H32" s="201"/>
    </row>
    <row r="33" spans="2:13">
      <c r="B33" s="204" t="s">
        <v>174</v>
      </c>
      <c r="C33" s="203" t="s">
        <v>724</v>
      </c>
      <c r="D33" s="208" t="s">
        <v>725</v>
      </c>
      <c r="E33" s="208">
        <v>1</v>
      </c>
      <c r="F33" s="202">
        <v>12310000</v>
      </c>
      <c r="G33" s="202">
        <f t="shared" ref="G33:G38" si="4">E33*F33</f>
        <v>12310000</v>
      </c>
      <c r="H33" s="201">
        <v>209.5</v>
      </c>
    </row>
    <row r="34" spans="2:13">
      <c r="B34" s="208"/>
      <c r="C34" s="209"/>
      <c r="D34" s="208"/>
      <c r="E34" s="208"/>
      <c r="F34" s="202"/>
      <c r="G34" s="202"/>
      <c r="H34" s="201"/>
      <c r="J34" s="336">
        <f>G34*0.1</f>
        <v>0</v>
      </c>
      <c r="K34" s="336">
        <f>G34+J34</f>
        <v>0</v>
      </c>
    </row>
    <row r="35" spans="2:13">
      <c r="B35" s="208"/>
      <c r="C35" s="209"/>
      <c r="D35" s="208"/>
      <c r="E35" s="208"/>
      <c r="F35" s="202"/>
      <c r="G35" s="202">
        <f t="shared" ref="G35" si="5">E35*F35</f>
        <v>0</v>
      </c>
      <c r="H35" s="201"/>
      <c r="J35">
        <v>749300</v>
      </c>
      <c r="K35">
        <f>J35*0.1</f>
        <v>74930</v>
      </c>
    </row>
    <row r="36" spans="2:13">
      <c r="B36" s="208"/>
      <c r="C36" s="209"/>
      <c r="D36" s="208"/>
      <c r="E36" s="208"/>
      <c r="F36" s="202"/>
      <c r="G36" s="202">
        <f t="shared" ref="G36" si="6">E36*F36</f>
        <v>0</v>
      </c>
      <c r="H36" s="201"/>
      <c r="J36">
        <v>613600</v>
      </c>
      <c r="L36">
        <f>775000</f>
        <v>775000</v>
      </c>
      <c r="M36">
        <f>L36*0.1</f>
        <v>77500</v>
      </c>
    </row>
    <row r="37" spans="2:13">
      <c r="B37" s="208"/>
      <c r="C37" s="209"/>
      <c r="D37" s="209"/>
      <c r="E37" s="208"/>
      <c r="F37" s="337"/>
      <c r="G37" s="202">
        <f>E37*F37</f>
        <v>0</v>
      </c>
      <c r="H37" s="201"/>
      <c r="J37">
        <f>J36*0.1</f>
        <v>61360</v>
      </c>
    </row>
    <row r="38" spans="2:13">
      <c r="B38" s="204"/>
      <c r="C38" s="203"/>
      <c r="D38" s="209"/>
      <c r="E38" s="208"/>
      <c r="F38" s="202"/>
      <c r="G38" s="202">
        <f t="shared" si="4"/>
        <v>0</v>
      </c>
      <c r="H38" s="201"/>
      <c r="J38">
        <f>SUM(J36:J37)</f>
        <v>674960</v>
      </c>
    </row>
    <row r="39" spans="2:13">
      <c r="B39" s="369" t="s">
        <v>171</v>
      </c>
      <c r="C39" s="369"/>
      <c r="D39" s="209"/>
      <c r="E39" s="208"/>
      <c r="F39" s="202"/>
      <c r="G39" s="207">
        <f>SUM(G33:G38)</f>
        <v>12310000</v>
      </c>
      <c r="H39" s="202">
        <f>SUM(H33:H38)</f>
        <v>209.5</v>
      </c>
      <c r="K39">
        <v>2574600</v>
      </c>
      <c r="L39">
        <f>K39*10%</f>
        <v>257460</v>
      </c>
    </row>
    <row r="40" spans="2:13">
      <c r="B40" s="204"/>
      <c r="C40" s="204"/>
      <c r="D40" s="209"/>
      <c r="E40" s="208"/>
      <c r="F40" s="202"/>
      <c r="G40" s="202"/>
      <c r="H40" s="202"/>
    </row>
    <row r="41" spans="2:13">
      <c r="B41" s="208"/>
      <c r="C41" s="338"/>
      <c r="D41" s="209"/>
      <c r="E41" s="208"/>
      <c r="F41" s="202"/>
      <c r="G41" s="202"/>
      <c r="H41" s="202"/>
    </row>
    <row r="42" spans="2:13">
      <c r="B42" s="204"/>
      <c r="C42" s="204"/>
      <c r="D42" s="209"/>
      <c r="E42" s="208"/>
      <c r="F42" s="202"/>
      <c r="G42" s="202">
        <f t="shared" ref="G42:G44" si="7">E42*F42</f>
        <v>0</v>
      </c>
      <c r="H42" s="202"/>
    </row>
    <row r="43" spans="2:13">
      <c r="B43" s="204"/>
      <c r="C43" s="204"/>
      <c r="D43" s="209"/>
      <c r="E43" s="208"/>
      <c r="F43" s="202"/>
      <c r="G43" s="202">
        <f t="shared" si="7"/>
        <v>0</v>
      </c>
      <c r="H43" s="202"/>
    </row>
    <row r="44" spans="2:13">
      <c r="B44" s="204"/>
      <c r="C44" s="203"/>
      <c r="D44" s="209"/>
      <c r="E44" s="208"/>
      <c r="F44" s="202"/>
      <c r="G44" s="202">
        <f t="shared" si="7"/>
        <v>0</v>
      </c>
      <c r="H44" s="201"/>
    </row>
    <row r="45" spans="2:13">
      <c r="B45" s="369" t="s">
        <v>171</v>
      </c>
      <c r="C45" s="369"/>
      <c r="D45" s="209"/>
      <c r="E45" s="208"/>
      <c r="F45" s="202"/>
      <c r="G45" s="202">
        <f>SUM(G41:G44)</f>
        <v>0</v>
      </c>
      <c r="H45" s="202">
        <f>SUM(H41:H44)</f>
        <v>0</v>
      </c>
    </row>
    <row r="46" spans="2:13">
      <c r="B46" s="208"/>
      <c r="C46" s="209"/>
      <c r="D46" s="209"/>
      <c r="E46" s="208"/>
      <c r="F46" s="202"/>
      <c r="G46" s="202"/>
      <c r="H46" s="201"/>
    </row>
    <row r="47" spans="2:13">
      <c r="B47" s="370" t="s">
        <v>1</v>
      </c>
      <c r="C47" s="370"/>
      <c r="D47" s="370"/>
      <c r="E47" s="370"/>
      <c r="F47" s="370"/>
      <c r="G47" s="197">
        <f>G26+G39</f>
        <v>12310000</v>
      </c>
      <c r="H47" s="197">
        <f>H31+H20+H39+H45</f>
        <v>209.5</v>
      </c>
    </row>
    <row r="48" spans="2:13">
      <c r="B48" s="13"/>
      <c r="G48" s="15"/>
    </row>
    <row r="49" spans="1:11">
      <c r="B49" s="364" t="s">
        <v>419</v>
      </c>
      <c r="C49" s="364"/>
      <c r="D49" s="364"/>
      <c r="E49" s="364"/>
      <c r="F49" s="364"/>
      <c r="G49" s="364"/>
      <c r="H49" s="364"/>
    </row>
    <row r="50" spans="1:11">
      <c r="B50" s="13"/>
      <c r="G50" s="15"/>
      <c r="I50" s="13"/>
      <c r="J50" s="13"/>
      <c r="K50" s="16"/>
    </row>
    <row r="53" spans="1:11" ht="18.75">
      <c r="A53">
        <v>2.2999999999999998</v>
      </c>
      <c r="B53" s="362" t="s">
        <v>379</v>
      </c>
      <c r="C53" s="362"/>
      <c r="D53" s="362"/>
      <c r="E53" s="362"/>
      <c r="F53" s="362"/>
    </row>
    <row r="55" spans="1:11" ht="30">
      <c r="B55" s="19" t="s">
        <v>146</v>
      </c>
      <c r="C55" s="47" t="s">
        <v>128</v>
      </c>
      <c r="D55" s="47" t="s">
        <v>151</v>
      </c>
      <c r="E55" s="47" t="s">
        <v>152</v>
      </c>
      <c r="F55" s="47" t="s">
        <v>158</v>
      </c>
    </row>
    <row r="56" spans="1:11">
      <c r="B56" s="210"/>
      <c r="C56" s="233"/>
      <c r="D56" s="210"/>
      <c r="E56" s="211"/>
      <c r="F56" s="212"/>
    </row>
    <row r="57" spans="1:11">
      <c r="B57" s="210"/>
      <c r="C57" s="233"/>
      <c r="D57" s="210"/>
      <c r="E57" s="211"/>
      <c r="F57" s="212">
        <f t="shared" ref="F57:F61" si="8">D57*E57</f>
        <v>0</v>
      </c>
    </row>
    <row r="58" spans="1:11">
      <c r="B58" s="210"/>
      <c r="C58" s="233"/>
      <c r="D58" s="210"/>
      <c r="E58" s="211"/>
      <c r="F58" s="212">
        <f t="shared" si="8"/>
        <v>0</v>
      </c>
    </row>
    <row r="59" spans="1:11">
      <c r="B59" s="210"/>
      <c r="C59" s="233"/>
      <c r="D59" s="210"/>
      <c r="E59" s="211"/>
      <c r="F59" s="212">
        <f t="shared" si="8"/>
        <v>0</v>
      </c>
    </row>
    <row r="60" spans="1:11">
      <c r="B60" s="210"/>
      <c r="C60" s="233"/>
      <c r="D60" s="210"/>
      <c r="E60" s="211"/>
      <c r="F60" s="212">
        <f t="shared" si="8"/>
        <v>0</v>
      </c>
    </row>
    <row r="61" spans="1:11">
      <c r="B61" s="210"/>
      <c r="C61" s="233"/>
      <c r="D61" s="210"/>
      <c r="E61" s="211"/>
      <c r="F61" s="212">
        <f t="shared" si="8"/>
        <v>0</v>
      </c>
    </row>
    <row r="62" spans="1:11">
      <c r="B62" s="372" t="s">
        <v>1</v>
      </c>
      <c r="C62" s="372"/>
      <c r="D62" s="372"/>
      <c r="E62" s="372"/>
      <c r="F62" s="17">
        <f>SUM(F56:F61)</f>
        <v>0</v>
      </c>
    </row>
    <row r="64" spans="1:11">
      <c r="A64" s="364" t="s">
        <v>420</v>
      </c>
      <c r="B64" s="364"/>
      <c r="C64" s="364"/>
      <c r="D64" s="364"/>
      <c r="E64" s="364"/>
      <c r="F64" s="364"/>
      <c r="G64" s="364"/>
    </row>
    <row r="67" spans="1:7" ht="18.75">
      <c r="A67">
        <v>2.4</v>
      </c>
      <c r="B67" s="362" t="s">
        <v>378</v>
      </c>
      <c r="C67" s="362"/>
      <c r="D67" s="362"/>
      <c r="E67" s="362"/>
      <c r="F67" s="362"/>
    </row>
    <row r="69" spans="1:7" ht="30">
      <c r="B69" s="19" t="s">
        <v>146</v>
      </c>
      <c r="C69" s="47" t="s">
        <v>128</v>
      </c>
      <c r="D69" s="47" t="s">
        <v>151</v>
      </c>
      <c r="E69" s="47" t="s">
        <v>152</v>
      </c>
      <c r="F69" s="47" t="s">
        <v>158</v>
      </c>
    </row>
    <row r="70" spans="1:7">
      <c r="B70" s="210"/>
      <c r="C70" s="233"/>
      <c r="D70" s="210"/>
      <c r="E70" s="211"/>
      <c r="F70" s="212"/>
    </row>
    <row r="71" spans="1:7">
      <c r="B71" s="210">
        <v>2</v>
      </c>
      <c r="C71" s="233"/>
      <c r="D71" s="210"/>
      <c r="E71" s="211"/>
      <c r="F71" s="212">
        <f>E71</f>
        <v>0</v>
      </c>
    </row>
    <row r="72" spans="1:7">
      <c r="B72" s="210"/>
      <c r="C72" s="233"/>
      <c r="D72" s="210"/>
      <c r="E72" s="211"/>
      <c r="F72" s="212">
        <f t="shared" ref="F72:F75" si="9">D72*E72</f>
        <v>0</v>
      </c>
    </row>
    <row r="73" spans="1:7">
      <c r="B73" s="210"/>
      <c r="C73" s="233"/>
      <c r="D73" s="210"/>
      <c r="E73" s="211"/>
      <c r="F73" s="212">
        <f t="shared" si="9"/>
        <v>0</v>
      </c>
    </row>
    <row r="74" spans="1:7">
      <c r="B74" s="210"/>
      <c r="C74" s="233"/>
      <c r="D74" s="210"/>
      <c r="E74" s="211"/>
      <c r="F74" s="212">
        <f t="shared" si="9"/>
        <v>0</v>
      </c>
    </row>
    <row r="75" spans="1:7">
      <c r="B75" s="210"/>
      <c r="C75" s="233"/>
      <c r="D75" s="210"/>
      <c r="E75" s="211"/>
      <c r="F75" s="212">
        <f t="shared" si="9"/>
        <v>0</v>
      </c>
    </row>
    <row r="76" spans="1:7">
      <c r="B76" s="372" t="s">
        <v>1</v>
      </c>
      <c r="C76" s="372"/>
      <c r="D76" s="372"/>
      <c r="E76" s="372"/>
      <c r="F76" s="17">
        <f>SUM(F70:F75)</f>
        <v>0</v>
      </c>
    </row>
    <row r="78" spans="1:7">
      <c r="A78" s="364" t="s">
        <v>420</v>
      </c>
      <c r="B78" s="364"/>
      <c r="C78" s="364"/>
      <c r="D78" s="364"/>
      <c r="E78" s="364"/>
      <c r="F78" s="364"/>
      <c r="G78" s="364"/>
    </row>
    <row r="81" spans="1:11" ht="18.75">
      <c r="A81">
        <v>2.5</v>
      </c>
      <c r="B81" s="362" t="s">
        <v>646</v>
      </c>
      <c r="C81" s="362"/>
      <c r="D81" s="362"/>
      <c r="E81" s="362"/>
      <c r="F81" s="362"/>
    </row>
    <row r="83" spans="1:11" ht="28.5">
      <c r="B83" s="183" t="s">
        <v>146</v>
      </c>
      <c r="C83" s="184" t="s">
        <v>128</v>
      </c>
      <c r="D83" s="184" t="s">
        <v>151</v>
      </c>
      <c r="E83" s="184" t="s">
        <v>152</v>
      </c>
      <c r="F83" s="184" t="s">
        <v>158</v>
      </c>
    </row>
    <row r="84" spans="1:11">
      <c r="B84" s="208">
        <v>1</v>
      </c>
      <c r="C84" s="209"/>
      <c r="D84" s="208"/>
      <c r="E84" s="213"/>
      <c r="F84" s="202">
        <f>E84*D84</f>
        <v>0</v>
      </c>
    </row>
    <row r="85" spans="1:11">
      <c r="B85" s="208"/>
      <c r="C85" s="209"/>
      <c r="D85" s="208"/>
      <c r="E85" s="213"/>
      <c r="F85" s="202">
        <f>E85*D85</f>
        <v>0</v>
      </c>
    </row>
    <row r="86" spans="1:11">
      <c r="B86" s="208"/>
      <c r="C86" s="209"/>
      <c r="D86" s="208"/>
      <c r="E86" s="213"/>
      <c r="F86" s="202">
        <f>E86*D86</f>
        <v>0</v>
      </c>
    </row>
    <row r="87" spans="1:11">
      <c r="B87" s="370" t="s">
        <v>1</v>
      </c>
      <c r="C87" s="370"/>
      <c r="D87" s="370"/>
      <c r="E87" s="370"/>
      <c r="F87" s="186">
        <f>SUM(F84:F86)</f>
        <v>0</v>
      </c>
    </row>
    <row r="88" spans="1:11">
      <c r="A88" s="371" t="s">
        <v>452</v>
      </c>
      <c r="B88" s="371"/>
      <c r="C88" s="371"/>
      <c r="D88" s="371"/>
      <c r="E88" s="371"/>
      <c r="F88" s="371"/>
      <c r="G88" s="371"/>
    </row>
    <row r="91" spans="1:11" ht="18.75">
      <c r="A91">
        <v>2.6</v>
      </c>
      <c r="B91" s="362" t="s">
        <v>255</v>
      </c>
      <c r="C91" s="362"/>
      <c r="D91" s="362"/>
    </row>
    <row r="92" spans="1:11" ht="15.75" thickBot="1"/>
    <row r="93" spans="1:11" ht="29.25" thickBot="1">
      <c r="B93" s="195" t="s">
        <v>146</v>
      </c>
      <c r="C93" s="196" t="s">
        <v>128</v>
      </c>
      <c r="D93" s="196" t="s">
        <v>377</v>
      </c>
    </row>
    <row r="94" spans="1:11" ht="30.75" thickBot="1">
      <c r="B94" s="234">
        <v>1</v>
      </c>
      <c r="C94" s="235" t="s">
        <v>698</v>
      </c>
      <c r="D94" s="214">
        <v>700000</v>
      </c>
      <c r="K94">
        <f>140*5%</f>
        <v>7</v>
      </c>
    </row>
    <row r="95" spans="1:11" ht="15.75" thickBot="1">
      <c r="B95" s="234">
        <v>2</v>
      </c>
      <c r="C95" s="235" t="s">
        <v>699</v>
      </c>
      <c r="D95" s="214">
        <v>400000</v>
      </c>
    </row>
    <row r="96" spans="1:11" ht="15.75" thickBot="1">
      <c r="B96" s="234">
        <v>3</v>
      </c>
      <c r="C96" s="235" t="s">
        <v>696</v>
      </c>
      <c r="D96" s="214">
        <v>150000</v>
      </c>
    </row>
    <row r="97" spans="1:6" ht="15.75" thickBot="1">
      <c r="B97" s="234"/>
      <c r="C97" s="235"/>
      <c r="D97" s="214"/>
    </row>
    <row r="98" spans="1:6" ht="15.75" thickBot="1">
      <c r="B98" s="234"/>
      <c r="C98" s="235"/>
      <c r="D98" s="214"/>
    </row>
    <row r="99" spans="1:6" ht="15.75" thickBot="1">
      <c r="B99" s="366" t="s">
        <v>1</v>
      </c>
      <c r="C99" s="367"/>
      <c r="D99" s="215">
        <f>SUM(D94:D98)</f>
        <v>1250000</v>
      </c>
    </row>
    <row r="101" spans="1:6" ht="26.1" customHeight="1">
      <c r="A101" s="368" t="s">
        <v>453</v>
      </c>
      <c r="B101" s="368"/>
      <c r="C101" s="368"/>
      <c r="D101" s="368"/>
      <c r="E101" s="368"/>
    </row>
    <row r="109" spans="1:6" ht="25.5">
      <c r="B109" s="298" t="s">
        <v>146</v>
      </c>
      <c r="C109" s="298" t="s">
        <v>128</v>
      </c>
      <c r="D109" s="298" t="s">
        <v>158</v>
      </c>
      <c r="E109" s="303" t="s">
        <v>469</v>
      </c>
      <c r="F109" s="303" t="s">
        <v>470</v>
      </c>
    </row>
    <row r="110" spans="1:6">
      <c r="B110" s="299">
        <v>1</v>
      </c>
      <c r="C110" s="300" t="s">
        <v>154</v>
      </c>
      <c r="D110" s="304">
        <v>5820000</v>
      </c>
      <c r="E110" s="305">
        <v>0.6</v>
      </c>
      <c r="F110" s="306">
        <v>3492000</v>
      </c>
    </row>
    <row r="111" spans="1:6">
      <c r="B111" s="299">
        <v>2</v>
      </c>
      <c r="C111" s="300" t="s">
        <v>155</v>
      </c>
      <c r="D111" s="304">
        <v>7639900</v>
      </c>
      <c r="E111" s="305">
        <v>0.6</v>
      </c>
      <c r="F111" s="306">
        <v>4583940</v>
      </c>
    </row>
    <row r="112" spans="1:6">
      <c r="B112" s="299">
        <v>3</v>
      </c>
      <c r="C112" s="300" t="s">
        <v>379</v>
      </c>
      <c r="D112" s="304">
        <v>0</v>
      </c>
      <c r="E112" s="305">
        <v>0.6</v>
      </c>
      <c r="F112" s="306">
        <v>0</v>
      </c>
    </row>
    <row r="113" spans="2:6">
      <c r="B113" s="299">
        <v>4</v>
      </c>
      <c r="C113" s="300" t="s">
        <v>378</v>
      </c>
      <c r="D113" s="304">
        <v>0</v>
      </c>
      <c r="E113" s="305">
        <v>0.6</v>
      </c>
      <c r="F113" s="306">
        <v>0</v>
      </c>
    </row>
    <row r="114" spans="2:6">
      <c r="B114" s="299">
        <v>5</v>
      </c>
      <c r="C114" s="300" t="s">
        <v>646</v>
      </c>
      <c r="D114" s="304">
        <v>0</v>
      </c>
      <c r="E114" s="305">
        <v>0.6</v>
      </c>
      <c r="F114" s="306">
        <v>0</v>
      </c>
    </row>
    <row r="115" spans="2:6">
      <c r="B115" s="299">
        <v>6</v>
      </c>
      <c r="C115" s="300" t="s">
        <v>255</v>
      </c>
      <c r="D115" s="304">
        <v>710000</v>
      </c>
      <c r="E115" s="305">
        <v>0.6</v>
      </c>
      <c r="F115" s="306">
        <v>426000</v>
      </c>
    </row>
    <row r="116" spans="2:6">
      <c r="B116" s="299">
        <v>7</v>
      </c>
      <c r="C116" s="300" t="s">
        <v>156</v>
      </c>
      <c r="D116" s="304">
        <v>1134183.6338392221</v>
      </c>
      <c r="E116" s="307"/>
      <c r="F116" s="307"/>
    </row>
    <row r="117" spans="2:6">
      <c r="B117" s="363" t="s">
        <v>1</v>
      </c>
      <c r="C117" s="363"/>
      <c r="D117" s="340">
        <v>15304083.633839222</v>
      </c>
      <c r="E117" s="307"/>
      <c r="F117" s="308">
        <v>8501940</v>
      </c>
    </row>
    <row r="122" spans="2:6">
      <c r="C122" s="5" t="s">
        <v>706</v>
      </c>
    </row>
    <row r="124" spans="2:6" ht="25.5">
      <c r="B124" s="297" t="s">
        <v>146</v>
      </c>
      <c r="C124" s="298" t="s">
        <v>128</v>
      </c>
      <c r="D124" s="298" t="s">
        <v>653</v>
      </c>
      <c r="E124" s="298" t="s">
        <v>158</v>
      </c>
    </row>
    <row r="125" spans="2:6">
      <c r="B125" s="299">
        <v>1</v>
      </c>
      <c r="C125" s="300" t="s">
        <v>334</v>
      </c>
      <c r="D125" s="335"/>
      <c r="E125" s="301">
        <v>8501940</v>
      </c>
    </row>
    <row r="126" spans="2:6">
      <c r="B126" s="299">
        <v>2</v>
      </c>
      <c r="C126" s="300" t="s">
        <v>157</v>
      </c>
      <c r="D126" s="330">
        <v>0.3</v>
      </c>
      <c r="E126" s="301">
        <v>4037970</v>
      </c>
    </row>
    <row r="127" spans="2:6">
      <c r="B127" s="299">
        <v>3</v>
      </c>
      <c r="C127" s="300" t="s">
        <v>135</v>
      </c>
      <c r="D127" s="301"/>
      <c r="E127" s="301">
        <v>2764173.6338392217</v>
      </c>
    </row>
    <row r="128" spans="2:6">
      <c r="B128" s="363" t="s">
        <v>1</v>
      </c>
      <c r="C128" s="363"/>
      <c r="D128" s="302"/>
      <c r="E128" s="302">
        <v>15304083.633839222</v>
      </c>
    </row>
  </sheetData>
  <mergeCells count="24">
    <mergeCell ref="B11:F11"/>
    <mergeCell ref="B2:G2"/>
    <mergeCell ref="B14:G14"/>
    <mergeCell ref="B49:H49"/>
    <mergeCell ref="B47:F47"/>
    <mergeCell ref="B16:H16"/>
    <mergeCell ref="B26:C26"/>
    <mergeCell ref="B31:C31"/>
    <mergeCell ref="B39:C39"/>
    <mergeCell ref="B117:C117"/>
    <mergeCell ref="B128:C128"/>
    <mergeCell ref="B99:C99"/>
    <mergeCell ref="A101:E101"/>
    <mergeCell ref="B45:C45"/>
    <mergeCell ref="A78:G78"/>
    <mergeCell ref="B87:E87"/>
    <mergeCell ref="B81:F81"/>
    <mergeCell ref="A88:G88"/>
    <mergeCell ref="B91:D91"/>
    <mergeCell ref="B62:E62"/>
    <mergeCell ref="B53:F53"/>
    <mergeCell ref="A64:G64"/>
    <mergeCell ref="B76:E76"/>
    <mergeCell ref="B67:F67"/>
  </mergeCells>
  <pageMargins left="0.7" right="0.7" top="0.75" bottom="0.75" header="0.3" footer="0.3"/>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4"/>
  <sheetViews>
    <sheetView view="pageBreakPreview" zoomScale="85" zoomScaleSheetLayoutView="85" workbookViewId="0">
      <selection activeCell="D76" sqref="D76"/>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140625" customWidth="1"/>
    <col min="13" max="13" width="12.7109375" customWidth="1"/>
    <col min="14" max="14" width="13.42578125" customWidth="1"/>
    <col min="15" max="15" width="13.140625" customWidth="1"/>
    <col min="16" max="16" width="13" customWidth="1"/>
    <col min="17" max="17" width="13.28515625" customWidth="1"/>
  </cols>
  <sheetData>
    <row r="2" spans="1:11" ht="18.75">
      <c r="A2" s="362" t="s">
        <v>562</v>
      </c>
      <c r="B2" s="362"/>
      <c r="C2" s="362"/>
      <c r="D2" s="362"/>
      <c r="E2" s="362"/>
      <c r="F2" s="362"/>
      <c r="G2" s="362"/>
      <c r="H2" s="362"/>
      <c r="I2" s="362"/>
      <c r="J2" s="362"/>
      <c r="K2" s="362"/>
    </row>
    <row r="4" spans="1:11">
      <c r="A4" s="76"/>
      <c r="B4" s="76"/>
      <c r="C4" s="76"/>
      <c r="D4" s="76"/>
      <c r="E4" s="158">
        <v>1</v>
      </c>
      <c r="F4" s="156">
        <f>(E4*5%)+E4</f>
        <v>1.05</v>
      </c>
      <c r="G4" s="156">
        <f t="shared" ref="G4:K4" si="0">(F4*5%)+F4</f>
        <v>1.1025</v>
      </c>
      <c r="H4" s="156">
        <f t="shared" si="0"/>
        <v>1.1576250000000001</v>
      </c>
      <c r="I4" s="156">
        <f t="shared" si="0"/>
        <v>1.2155062500000002</v>
      </c>
      <c r="J4" s="156">
        <f t="shared" si="0"/>
        <v>1.2762815625000004</v>
      </c>
      <c r="K4" s="156">
        <f t="shared" si="0"/>
        <v>1.3400956406250004</v>
      </c>
    </row>
    <row r="5" spans="1:11">
      <c r="A5" s="76"/>
      <c r="B5" s="76"/>
      <c r="C5" s="76"/>
      <c r="D5" s="76"/>
      <c r="E5" s="76"/>
      <c r="F5" s="76"/>
      <c r="G5" s="76"/>
      <c r="H5" s="76"/>
      <c r="I5" s="76"/>
      <c r="J5" s="76"/>
      <c r="K5" s="76"/>
    </row>
    <row r="6" spans="1:11">
      <c r="A6" s="128" t="s">
        <v>0</v>
      </c>
      <c r="B6" s="128" t="s">
        <v>133</v>
      </c>
      <c r="C6" s="128" t="s">
        <v>395</v>
      </c>
      <c r="D6" s="128" t="s">
        <v>289</v>
      </c>
      <c r="E6" s="100" t="s">
        <v>2</v>
      </c>
      <c r="F6" s="100" t="s">
        <v>3</v>
      </c>
      <c r="G6" s="100" t="s">
        <v>4</v>
      </c>
      <c r="H6" s="100" t="s">
        <v>5</v>
      </c>
      <c r="I6" s="100" t="s">
        <v>6</v>
      </c>
      <c r="J6" s="100" t="s">
        <v>169</v>
      </c>
      <c r="K6" s="100" t="s">
        <v>168</v>
      </c>
    </row>
    <row r="7" spans="1:11">
      <c r="A7" s="77"/>
      <c r="B7" s="77"/>
      <c r="C7" s="77"/>
      <c r="D7" s="77"/>
      <c r="E7" s="77"/>
      <c r="F7" s="77"/>
      <c r="G7" s="77"/>
      <c r="H7" s="77"/>
      <c r="I7" s="77"/>
      <c r="J7" s="77"/>
      <c r="K7" s="77"/>
    </row>
    <row r="8" spans="1:11">
      <c r="A8" s="77" t="s">
        <v>330</v>
      </c>
      <c r="B8" s="77" t="s">
        <v>396</v>
      </c>
      <c r="C8" s="201">
        <v>2</v>
      </c>
      <c r="D8" s="225">
        <v>30000</v>
      </c>
      <c r="E8" s="78">
        <f>$C8*$D8*12*E$4</f>
        <v>720000</v>
      </c>
      <c r="F8" s="78">
        <f t="shared" ref="F8:K8" si="1">$C8*$D8*12*F$4</f>
        <v>756000</v>
      </c>
      <c r="G8" s="78">
        <f t="shared" si="1"/>
        <v>793800</v>
      </c>
      <c r="H8" s="78">
        <f t="shared" si="1"/>
        <v>833490.00000000012</v>
      </c>
      <c r="I8" s="78">
        <f t="shared" si="1"/>
        <v>875164.50000000012</v>
      </c>
      <c r="J8" s="78">
        <f t="shared" si="1"/>
        <v>918922.72500000021</v>
      </c>
      <c r="K8" s="78">
        <f t="shared" si="1"/>
        <v>964868.86125000031</v>
      </c>
    </row>
    <row r="9" spans="1:11">
      <c r="A9" s="77" t="s">
        <v>705</v>
      </c>
      <c r="B9" s="77" t="s">
        <v>396</v>
      </c>
      <c r="C9" s="201">
        <v>3</v>
      </c>
      <c r="D9" s="225">
        <v>20000</v>
      </c>
      <c r="E9" s="78">
        <f>$C9*$D9*12*E$4</f>
        <v>720000</v>
      </c>
      <c r="F9" s="78">
        <f t="shared" ref="F9:K10" si="2">$C9*$D9*12*F$4</f>
        <v>756000</v>
      </c>
      <c r="G9" s="78">
        <f t="shared" si="2"/>
        <v>793800</v>
      </c>
      <c r="H9" s="78">
        <f t="shared" si="2"/>
        <v>833490.00000000012</v>
      </c>
      <c r="I9" s="78">
        <f t="shared" si="2"/>
        <v>875164.50000000012</v>
      </c>
      <c r="J9" s="78">
        <f t="shared" si="2"/>
        <v>918922.72500000021</v>
      </c>
      <c r="K9" s="78">
        <f t="shared" si="2"/>
        <v>964868.86125000031</v>
      </c>
    </row>
    <row r="10" spans="1:11">
      <c r="A10" s="77" t="s">
        <v>193</v>
      </c>
      <c r="B10" s="77" t="s">
        <v>396</v>
      </c>
      <c r="C10" s="201">
        <v>3</v>
      </c>
      <c r="D10" s="225">
        <v>14000</v>
      </c>
      <c r="E10" s="78">
        <f>$C10*$D10*12*E$4</f>
        <v>504000</v>
      </c>
      <c r="F10" s="78">
        <f t="shared" si="2"/>
        <v>529200</v>
      </c>
      <c r="G10" s="78">
        <f t="shared" si="2"/>
        <v>555660</v>
      </c>
      <c r="H10" s="78">
        <f t="shared" si="2"/>
        <v>583443.00000000012</v>
      </c>
      <c r="I10" s="78">
        <f t="shared" si="2"/>
        <v>612615.15000000014</v>
      </c>
      <c r="J10" s="78">
        <f t="shared" si="2"/>
        <v>643245.9075000002</v>
      </c>
      <c r="K10" s="78">
        <f t="shared" si="2"/>
        <v>675408.20287500019</v>
      </c>
    </row>
    <row r="11" spans="1:11">
      <c r="A11" s="77" t="s">
        <v>131</v>
      </c>
      <c r="B11" s="77" t="s">
        <v>397</v>
      </c>
      <c r="C11" s="77">
        <v>12</v>
      </c>
      <c r="D11" s="225">
        <v>7000</v>
      </c>
      <c r="E11" s="78">
        <f>$C11*$D11*E$4</f>
        <v>84000</v>
      </c>
      <c r="F11" s="78">
        <f t="shared" ref="F11:K15" si="3">$C11*$D11*F$4</f>
        <v>88200</v>
      </c>
      <c r="G11" s="78">
        <f t="shared" si="3"/>
        <v>92610</v>
      </c>
      <c r="H11" s="78">
        <f t="shared" si="3"/>
        <v>97240.500000000015</v>
      </c>
      <c r="I11" s="78">
        <f t="shared" si="3"/>
        <v>102102.52500000002</v>
      </c>
      <c r="J11" s="78">
        <f t="shared" si="3"/>
        <v>107207.65125000002</v>
      </c>
      <c r="K11" s="78">
        <f t="shared" si="3"/>
        <v>112568.03381250004</v>
      </c>
    </row>
    <row r="12" spans="1:11">
      <c r="A12" s="77" t="s">
        <v>10</v>
      </c>
      <c r="B12" s="77" t="s">
        <v>397</v>
      </c>
      <c r="C12" s="77">
        <v>12</v>
      </c>
      <c r="D12" s="225">
        <v>5000</v>
      </c>
      <c r="E12" s="78">
        <f t="shared" ref="E12:E15" si="4">$C12*$D12*E$4</f>
        <v>60000</v>
      </c>
      <c r="F12" s="78">
        <f t="shared" si="3"/>
        <v>63000</v>
      </c>
      <c r="G12" s="78">
        <f t="shared" si="3"/>
        <v>66150</v>
      </c>
      <c r="H12" s="78">
        <f t="shared" si="3"/>
        <v>69457.500000000015</v>
      </c>
      <c r="I12" s="78">
        <f t="shared" si="3"/>
        <v>72930.375000000015</v>
      </c>
      <c r="J12" s="78">
        <f t="shared" si="3"/>
        <v>76576.893750000017</v>
      </c>
      <c r="K12" s="78">
        <f t="shared" si="3"/>
        <v>80405.738437500026</v>
      </c>
    </row>
    <row r="13" spans="1:11">
      <c r="A13" s="77" t="s">
        <v>189</v>
      </c>
      <c r="B13" s="77" t="s">
        <v>397</v>
      </c>
      <c r="C13" s="77">
        <v>12</v>
      </c>
      <c r="D13" s="225">
        <v>20000</v>
      </c>
      <c r="E13" s="78">
        <f t="shared" si="4"/>
        <v>240000</v>
      </c>
      <c r="F13" s="78">
        <f t="shared" si="3"/>
        <v>252000</v>
      </c>
      <c r="G13" s="78">
        <f t="shared" si="3"/>
        <v>264600</v>
      </c>
      <c r="H13" s="78">
        <f t="shared" si="3"/>
        <v>277830.00000000006</v>
      </c>
      <c r="I13" s="78">
        <f t="shared" si="3"/>
        <v>291721.50000000006</v>
      </c>
      <c r="J13" s="78">
        <f t="shared" si="3"/>
        <v>306307.57500000007</v>
      </c>
      <c r="K13" s="78">
        <f t="shared" si="3"/>
        <v>321622.9537500001</v>
      </c>
    </row>
    <row r="14" spans="1:11">
      <c r="A14" s="77" t="s">
        <v>160</v>
      </c>
      <c r="B14" s="77" t="s">
        <v>397</v>
      </c>
      <c r="C14" s="77">
        <v>12</v>
      </c>
      <c r="D14" s="225">
        <v>2500</v>
      </c>
      <c r="E14" s="78">
        <f t="shared" si="4"/>
        <v>30000</v>
      </c>
      <c r="F14" s="78">
        <f t="shared" si="3"/>
        <v>31500</v>
      </c>
      <c r="G14" s="78">
        <f t="shared" si="3"/>
        <v>33075</v>
      </c>
      <c r="H14" s="78">
        <f t="shared" si="3"/>
        <v>34728.750000000007</v>
      </c>
      <c r="I14" s="78">
        <f t="shared" si="3"/>
        <v>36465.187500000007</v>
      </c>
      <c r="J14" s="78">
        <f t="shared" si="3"/>
        <v>38288.446875000009</v>
      </c>
      <c r="K14" s="78">
        <f t="shared" si="3"/>
        <v>40202.869218750013</v>
      </c>
    </row>
    <row r="15" spans="1:11">
      <c r="A15" s="77" t="s">
        <v>190</v>
      </c>
      <c r="B15" s="77" t="s">
        <v>397</v>
      </c>
      <c r="C15" s="77">
        <v>12</v>
      </c>
      <c r="D15" s="225">
        <v>50000</v>
      </c>
      <c r="E15" s="78">
        <f t="shared" si="4"/>
        <v>600000</v>
      </c>
      <c r="F15" s="78">
        <f t="shared" si="3"/>
        <v>630000</v>
      </c>
      <c r="G15" s="78">
        <f t="shared" si="3"/>
        <v>661500</v>
      </c>
      <c r="H15" s="78">
        <f t="shared" si="3"/>
        <v>694575.00000000012</v>
      </c>
      <c r="I15" s="78">
        <f t="shared" si="3"/>
        <v>729303.75000000012</v>
      </c>
      <c r="J15" s="78">
        <f t="shared" si="3"/>
        <v>765768.93750000023</v>
      </c>
      <c r="K15" s="78">
        <f t="shared" si="3"/>
        <v>804057.38437500026</v>
      </c>
    </row>
    <row r="16" spans="1:11">
      <c r="A16" s="77" t="s">
        <v>191</v>
      </c>
      <c r="B16" s="77" t="s">
        <v>398</v>
      </c>
      <c r="C16" s="77">
        <v>1</v>
      </c>
      <c r="D16" s="225">
        <v>50000</v>
      </c>
      <c r="E16" s="78">
        <f>$D16*E$4*$C16</f>
        <v>50000</v>
      </c>
      <c r="F16" s="78">
        <f t="shared" ref="F16:K22" si="5">$D16*F$4*$C16</f>
        <v>52500</v>
      </c>
      <c r="G16" s="78">
        <f t="shared" si="5"/>
        <v>55125</v>
      </c>
      <c r="H16" s="78">
        <f t="shared" si="5"/>
        <v>57881.250000000007</v>
      </c>
      <c r="I16" s="78">
        <f t="shared" si="5"/>
        <v>60775.312500000015</v>
      </c>
      <c r="J16" s="78">
        <f t="shared" si="5"/>
        <v>63814.078125000015</v>
      </c>
      <c r="K16" s="78">
        <f t="shared" si="5"/>
        <v>67004.782031250026</v>
      </c>
    </row>
    <row r="17" spans="1:17">
      <c r="A17" s="77"/>
      <c r="B17" s="77"/>
      <c r="C17" s="77"/>
      <c r="D17" s="225"/>
      <c r="E17" s="78">
        <f t="shared" ref="E17:E22" si="6">$D17*E$4*$C17</f>
        <v>0</v>
      </c>
      <c r="F17" s="78">
        <f t="shared" si="5"/>
        <v>0</v>
      </c>
      <c r="G17" s="78">
        <f t="shared" si="5"/>
        <v>0</v>
      </c>
      <c r="H17" s="78">
        <f t="shared" si="5"/>
        <v>0</v>
      </c>
      <c r="I17" s="78">
        <f t="shared" si="5"/>
        <v>0</v>
      </c>
      <c r="J17" s="78">
        <f t="shared" si="5"/>
        <v>0</v>
      </c>
      <c r="K17" s="78">
        <f t="shared" si="5"/>
        <v>0</v>
      </c>
    </row>
    <row r="18" spans="1:17">
      <c r="A18" s="77"/>
      <c r="B18" s="77"/>
      <c r="C18" s="77"/>
      <c r="D18" s="225"/>
      <c r="E18" s="78">
        <f t="shared" si="6"/>
        <v>0</v>
      </c>
      <c r="F18" s="78">
        <f t="shared" si="5"/>
        <v>0</v>
      </c>
      <c r="G18" s="78">
        <f t="shared" si="5"/>
        <v>0</v>
      </c>
      <c r="H18" s="78">
        <f t="shared" si="5"/>
        <v>0</v>
      </c>
      <c r="I18" s="78">
        <f t="shared" si="5"/>
        <v>0</v>
      </c>
      <c r="J18" s="78">
        <f t="shared" si="5"/>
        <v>0</v>
      </c>
      <c r="K18" s="78">
        <f t="shared" si="5"/>
        <v>0</v>
      </c>
    </row>
    <row r="19" spans="1:17">
      <c r="A19" s="77"/>
      <c r="B19" s="77"/>
      <c r="C19" s="77"/>
      <c r="D19" s="225"/>
      <c r="E19" s="78">
        <f t="shared" si="6"/>
        <v>0</v>
      </c>
      <c r="F19" s="78">
        <f t="shared" si="5"/>
        <v>0</v>
      </c>
      <c r="G19" s="78">
        <f t="shared" si="5"/>
        <v>0</v>
      </c>
      <c r="H19" s="78">
        <f t="shared" si="5"/>
        <v>0</v>
      </c>
      <c r="I19" s="78">
        <f t="shared" si="5"/>
        <v>0</v>
      </c>
      <c r="J19" s="78">
        <f t="shared" si="5"/>
        <v>0</v>
      </c>
      <c r="K19" s="78">
        <f t="shared" si="5"/>
        <v>0</v>
      </c>
    </row>
    <row r="20" spans="1:17">
      <c r="A20" s="77"/>
      <c r="B20" s="77"/>
      <c r="C20" s="77"/>
      <c r="D20" s="225"/>
      <c r="E20" s="78">
        <f t="shared" si="6"/>
        <v>0</v>
      </c>
      <c r="F20" s="78">
        <f t="shared" si="5"/>
        <v>0</v>
      </c>
      <c r="G20" s="78">
        <f t="shared" si="5"/>
        <v>0</v>
      </c>
      <c r="H20" s="78">
        <f t="shared" si="5"/>
        <v>0</v>
      </c>
      <c r="I20" s="78">
        <f t="shared" si="5"/>
        <v>0</v>
      </c>
      <c r="J20" s="78">
        <f t="shared" si="5"/>
        <v>0</v>
      </c>
      <c r="K20" s="78">
        <f t="shared" si="5"/>
        <v>0</v>
      </c>
    </row>
    <row r="21" spans="1:17">
      <c r="A21" s="77"/>
      <c r="B21" s="77"/>
      <c r="C21" s="77"/>
      <c r="D21" s="225"/>
      <c r="E21" s="78">
        <f t="shared" si="6"/>
        <v>0</v>
      </c>
      <c r="F21" s="78">
        <f t="shared" si="5"/>
        <v>0</v>
      </c>
      <c r="G21" s="78">
        <f t="shared" si="5"/>
        <v>0</v>
      </c>
      <c r="H21" s="78">
        <f t="shared" si="5"/>
        <v>0</v>
      </c>
      <c r="I21" s="78">
        <f t="shared" si="5"/>
        <v>0</v>
      </c>
      <c r="J21" s="78">
        <f t="shared" si="5"/>
        <v>0</v>
      </c>
      <c r="K21" s="78">
        <f t="shared" si="5"/>
        <v>0</v>
      </c>
    </row>
    <row r="22" spans="1:17">
      <c r="A22" s="77"/>
      <c r="B22" s="77"/>
      <c r="C22" s="77"/>
      <c r="D22" s="78"/>
      <c r="E22" s="78">
        <f t="shared" si="6"/>
        <v>0</v>
      </c>
      <c r="F22" s="78">
        <f t="shared" si="5"/>
        <v>0</v>
      </c>
      <c r="G22" s="78">
        <f t="shared" si="5"/>
        <v>0</v>
      </c>
      <c r="H22" s="78">
        <f t="shared" si="5"/>
        <v>0</v>
      </c>
      <c r="I22" s="78">
        <f t="shared" si="5"/>
        <v>0</v>
      </c>
      <c r="J22" s="78">
        <f t="shared" si="5"/>
        <v>0</v>
      </c>
      <c r="K22" s="78">
        <f t="shared" si="5"/>
        <v>0</v>
      </c>
    </row>
    <row r="23" spans="1:17">
      <c r="A23" s="79" t="s">
        <v>132</v>
      </c>
      <c r="B23" s="79"/>
      <c r="C23" s="79"/>
      <c r="D23" s="95"/>
      <c r="E23" s="95">
        <f t="shared" ref="E23:K23" si="7">SUM(E8:E22)</f>
        <v>3008000</v>
      </c>
      <c r="F23" s="95">
        <f t="shared" si="7"/>
        <v>3158400</v>
      </c>
      <c r="G23" s="95">
        <f t="shared" si="7"/>
        <v>3316320</v>
      </c>
      <c r="H23" s="95">
        <f t="shared" si="7"/>
        <v>3482136.0000000005</v>
      </c>
      <c r="I23" s="95">
        <f t="shared" si="7"/>
        <v>3656242.8000000003</v>
      </c>
      <c r="J23" s="95">
        <f t="shared" si="7"/>
        <v>3839054.9400000013</v>
      </c>
      <c r="K23" s="95">
        <f t="shared" si="7"/>
        <v>4031007.6870000008</v>
      </c>
    </row>
    <row r="28" spans="1:17">
      <c r="A28" s="376"/>
      <c r="B28" s="376"/>
      <c r="C28" s="376"/>
      <c r="D28" s="376"/>
      <c r="E28" s="376"/>
      <c r="F28" s="376"/>
      <c r="G28" s="376"/>
      <c r="H28" s="376"/>
      <c r="I28" s="376"/>
      <c r="J28" s="376"/>
      <c r="K28" s="376"/>
      <c r="L28" s="376"/>
      <c r="M28" s="376"/>
      <c r="N28" s="376"/>
      <c r="O28" s="376"/>
    </row>
    <row r="29" spans="1:17" ht="18.75">
      <c r="A29" s="374" t="s">
        <v>563</v>
      </c>
      <c r="B29" s="374"/>
      <c r="C29" s="374"/>
      <c r="D29" s="374"/>
      <c r="E29" s="374"/>
      <c r="F29" s="374"/>
      <c r="G29" s="374"/>
      <c r="H29" s="374"/>
      <c r="I29" s="374"/>
      <c r="J29" s="374"/>
      <c r="K29" s="374"/>
      <c r="L29" s="374"/>
      <c r="M29" s="374"/>
      <c r="N29" s="374"/>
      <c r="O29" s="374"/>
      <c r="P29" s="374"/>
      <c r="Q29" s="374"/>
    </row>
    <row r="30" spans="1:17">
      <c r="A30" s="129"/>
      <c r="B30" s="129"/>
      <c r="C30" s="129"/>
      <c r="D30" s="129"/>
      <c r="E30" s="129"/>
      <c r="F30" s="129"/>
      <c r="G30" s="129"/>
      <c r="H30" s="129"/>
      <c r="I30" s="129"/>
      <c r="J30" s="129"/>
      <c r="K30" s="129"/>
      <c r="L30" s="129"/>
      <c r="M30" s="129"/>
      <c r="N30" s="129"/>
      <c r="O30" s="129"/>
    </row>
    <row r="31" spans="1:17">
      <c r="A31" s="76"/>
      <c r="B31" s="76"/>
      <c r="C31" s="377" t="s">
        <v>194</v>
      </c>
      <c r="D31" s="377"/>
      <c r="E31" s="377"/>
      <c r="F31" s="377"/>
      <c r="G31" s="377"/>
      <c r="H31" s="377"/>
      <c r="I31" s="377"/>
      <c r="J31" s="76"/>
      <c r="K31" s="378" t="s">
        <v>195</v>
      </c>
      <c r="L31" s="378"/>
      <c r="M31" s="378"/>
      <c r="N31" s="378"/>
      <c r="O31" s="378"/>
      <c r="P31" s="378"/>
      <c r="Q31" s="378"/>
    </row>
    <row r="32" spans="1:17">
      <c r="A32" s="148" t="s">
        <v>0</v>
      </c>
      <c r="B32" s="142"/>
      <c r="C32" s="49" t="s">
        <v>2</v>
      </c>
      <c r="D32" s="49" t="s">
        <v>3</v>
      </c>
      <c r="E32" s="49" t="s">
        <v>4</v>
      </c>
      <c r="F32" s="49" t="s">
        <v>5</v>
      </c>
      <c r="G32" s="49" t="s">
        <v>6</v>
      </c>
      <c r="H32" s="49" t="s">
        <v>169</v>
      </c>
      <c r="I32" s="49" t="s">
        <v>168</v>
      </c>
      <c r="J32" s="149"/>
      <c r="K32" s="49" t="s">
        <v>2</v>
      </c>
      <c r="L32" s="49" t="s">
        <v>3</v>
      </c>
      <c r="M32" s="49" t="s">
        <v>4</v>
      </c>
      <c r="N32" s="49" t="s">
        <v>5</v>
      </c>
      <c r="O32" s="49" t="s">
        <v>6</v>
      </c>
      <c r="P32" s="49" t="s">
        <v>169</v>
      </c>
      <c r="Q32" s="49" t="s">
        <v>168</v>
      </c>
    </row>
    <row r="33" spans="1:17">
      <c r="A33" s="143" t="s">
        <v>196</v>
      </c>
      <c r="B33" s="77"/>
      <c r="C33" s="77"/>
      <c r="D33" s="77"/>
      <c r="E33" s="77"/>
      <c r="F33" s="77"/>
      <c r="G33" s="144"/>
      <c r="H33" s="144"/>
      <c r="I33" s="144"/>
      <c r="J33" s="77"/>
      <c r="K33" s="77"/>
      <c r="L33" s="77"/>
      <c r="M33" s="77"/>
      <c r="N33" s="77"/>
      <c r="O33" s="144"/>
      <c r="P33" s="144"/>
      <c r="Q33" s="144"/>
    </row>
    <row r="34" spans="1:17">
      <c r="A34" s="143"/>
      <c r="B34" s="77"/>
      <c r="C34" s="77"/>
      <c r="D34" s="77"/>
      <c r="E34" s="77"/>
      <c r="F34" s="77"/>
      <c r="G34" s="144"/>
      <c r="H34" s="144"/>
      <c r="I34" s="144"/>
      <c r="J34" s="77"/>
      <c r="K34" s="77"/>
      <c r="L34" s="77"/>
      <c r="M34" s="77"/>
      <c r="N34" s="77"/>
      <c r="O34" s="144"/>
      <c r="P34" s="144"/>
      <c r="Q34" s="144"/>
    </row>
    <row r="35" spans="1:17">
      <c r="A35" s="145"/>
      <c r="B35" s="145"/>
      <c r="C35" s="77"/>
      <c r="D35" s="77"/>
      <c r="E35" s="77"/>
      <c r="F35" s="77"/>
      <c r="G35" s="77"/>
      <c r="H35" s="77"/>
      <c r="I35" s="77"/>
      <c r="J35" s="77"/>
      <c r="K35" s="77"/>
      <c r="L35" s="77"/>
      <c r="M35" s="77"/>
      <c r="N35" s="77"/>
      <c r="O35" s="77"/>
      <c r="P35" s="77"/>
      <c r="Q35" s="77"/>
    </row>
    <row r="36" spans="1:17">
      <c r="A36" s="146" t="s">
        <v>200</v>
      </c>
      <c r="B36" s="146"/>
      <c r="C36" s="77"/>
      <c r="D36" s="77"/>
      <c r="E36" s="77"/>
      <c r="F36" s="77"/>
      <c r="G36" s="77"/>
      <c r="H36" s="77"/>
      <c r="I36" s="77"/>
      <c r="J36" s="77"/>
      <c r="K36" s="77"/>
      <c r="L36" s="77"/>
      <c r="M36" s="77"/>
      <c r="N36" s="77"/>
      <c r="O36" s="77"/>
      <c r="P36" s="77"/>
      <c r="Q36" s="77"/>
    </row>
    <row r="37" spans="1:17">
      <c r="A37" s="145" t="s">
        <v>197</v>
      </c>
      <c r="B37" s="145"/>
      <c r="C37" s="147">
        <f>'1.Project Cost and MOF'!D5</f>
        <v>12472120</v>
      </c>
      <c r="D37" s="147">
        <f t="shared" ref="D37:I37" si="8">C40</f>
        <v>12076753.796</v>
      </c>
      <c r="E37" s="147">
        <f t="shared" si="8"/>
        <v>11681387.592</v>
      </c>
      <c r="F37" s="147">
        <f t="shared" si="8"/>
        <v>11286021.388</v>
      </c>
      <c r="G37" s="147">
        <f t="shared" si="8"/>
        <v>10890655.184</v>
      </c>
      <c r="H37" s="147">
        <f t="shared" si="8"/>
        <v>10495288.98</v>
      </c>
      <c r="I37" s="147">
        <f t="shared" si="8"/>
        <v>10099922.776000001</v>
      </c>
      <c r="J37" s="77"/>
      <c r="K37" s="147">
        <f>C37</f>
        <v>12472120</v>
      </c>
      <c r="L37" s="147">
        <f t="shared" ref="L37:Q37" si="9">K40</f>
        <v>11224908</v>
      </c>
      <c r="M37" s="147">
        <f t="shared" si="9"/>
        <v>10102417.199999999</v>
      </c>
      <c r="N37" s="147">
        <f t="shared" si="9"/>
        <v>9092175.4799999986</v>
      </c>
      <c r="O37" s="147">
        <f t="shared" si="9"/>
        <v>8182957.9319999982</v>
      </c>
      <c r="P37" s="147">
        <f t="shared" si="9"/>
        <v>7364662.138799998</v>
      </c>
      <c r="Q37" s="147">
        <f t="shared" si="9"/>
        <v>6628195.9249199983</v>
      </c>
    </row>
    <row r="38" spans="1:17">
      <c r="A38" s="145" t="s">
        <v>17</v>
      </c>
      <c r="B38" s="145"/>
      <c r="C38" s="147">
        <f t="shared" ref="C38:I38" si="10">$C$37*$B$74</f>
        <v>395366.20399999997</v>
      </c>
      <c r="D38" s="147">
        <f t="shared" si="10"/>
        <v>395366.20399999997</v>
      </c>
      <c r="E38" s="147">
        <f t="shared" si="10"/>
        <v>395366.20399999997</v>
      </c>
      <c r="F38" s="147">
        <f t="shared" si="10"/>
        <v>395366.20399999997</v>
      </c>
      <c r="G38" s="147">
        <f t="shared" si="10"/>
        <v>395366.20399999997</v>
      </c>
      <c r="H38" s="147">
        <f t="shared" si="10"/>
        <v>395366.20399999997</v>
      </c>
      <c r="I38" s="147">
        <f t="shared" si="10"/>
        <v>395366.20399999997</v>
      </c>
      <c r="J38" s="77"/>
      <c r="K38" s="147">
        <f t="shared" ref="K38:Q38" si="11">K37*$C$74</f>
        <v>1247212</v>
      </c>
      <c r="L38" s="147">
        <f t="shared" si="11"/>
        <v>1122490.8</v>
      </c>
      <c r="M38" s="147">
        <f t="shared" si="11"/>
        <v>1010241.72</v>
      </c>
      <c r="N38" s="147">
        <f t="shared" si="11"/>
        <v>909217.54799999995</v>
      </c>
      <c r="O38" s="147">
        <f t="shared" si="11"/>
        <v>818295.79319999984</v>
      </c>
      <c r="P38" s="147">
        <f t="shared" si="11"/>
        <v>736466.21387999982</v>
      </c>
      <c r="Q38" s="147">
        <f t="shared" si="11"/>
        <v>662819.59249199985</v>
      </c>
    </row>
    <row r="39" spans="1:17">
      <c r="A39" s="145" t="s">
        <v>198</v>
      </c>
      <c r="B39" s="145"/>
      <c r="C39" s="147">
        <f>C38</f>
        <v>395366.20399999997</v>
      </c>
      <c r="D39" s="147">
        <f t="shared" ref="D39:I39" si="12">C39+D38</f>
        <v>790732.40799999994</v>
      </c>
      <c r="E39" s="147">
        <f t="shared" si="12"/>
        <v>1186098.612</v>
      </c>
      <c r="F39" s="147">
        <f t="shared" si="12"/>
        <v>1581464.8159999999</v>
      </c>
      <c r="G39" s="147">
        <f t="shared" si="12"/>
        <v>1976831.0199999998</v>
      </c>
      <c r="H39" s="147">
        <f t="shared" si="12"/>
        <v>2372197.2239999999</v>
      </c>
      <c r="I39" s="147">
        <f t="shared" si="12"/>
        <v>2767563.4279999998</v>
      </c>
      <c r="J39" s="77"/>
      <c r="K39" s="147">
        <f>K38</f>
        <v>1247212</v>
      </c>
      <c r="L39" s="147">
        <f t="shared" ref="L39:Q39" si="13">K39+L38</f>
        <v>2369702.7999999998</v>
      </c>
      <c r="M39" s="147">
        <f t="shared" si="13"/>
        <v>3379944.5199999996</v>
      </c>
      <c r="N39" s="147">
        <f t="shared" si="13"/>
        <v>4289162.068</v>
      </c>
      <c r="O39" s="147">
        <f t="shared" si="13"/>
        <v>5107457.8612000002</v>
      </c>
      <c r="P39" s="147">
        <f t="shared" si="13"/>
        <v>5843924.0750799999</v>
      </c>
      <c r="Q39" s="147">
        <f t="shared" si="13"/>
        <v>6506743.6675720001</v>
      </c>
    </row>
    <row r="40" spans="1:17">
      <c r="A40" s="145" t="s">
        <v>199</v>
      </c>
      <c r="B40" s="145"/>
      <c r="C40" s="147">
        <f t="shared" ref="C40:I40" si="14">C37-C38</f>
        <v>12076753.796</v>
      </c>
      <c r="D40" s="147">
        <f t="shared" si="14"/>
        <v>11681387.592</v>
      </c>
      <c r="E40" s="147">
        <f t="shared" si="14"/>
        <v>11286021.388</v>
      </c>
      <c r="F40" s="147">
        <f t="shared" si="14"/>
        <v>10890655.184</v>
      </c>
      <c r="G40" s="147">
        <f t="shared" si="14"/>
        <v>10495288.98</v>
      </c>
      <c r="H40" s="147">
        <f t="shared" si="14"/>
        <v>10099922.776000001</v>
      </c>
      <c r="I40" s="147">
        <f t="shared" si="14"/>
        <v>9704556.5720000006</v>
      </c>
      <c r="J40" s="77"/>
      <c r="K40" s="147">
        <f t="shared" ref="K40:Q40" si="15">K37-K38</f>
        <v>11224908</v>
      </c>
      <c r="L40" s="147">
        <f t="shared" si="15"/>
        <v>10102417.199999999</v>
      </c>
      <c r="M40" s="147">
        <f t="shared" si="15"/>
        <v>9092175.4799999986</v>
      </c>
      <c r="N40" s="147">
        <f t="shared" si="15"/>
        <v>8182957.9319999982</v>
      </c>
      <c r="O40" s="147">
        <f t="shared" si="15"/>
        <v>7364662.138799998</v>
      </c>
      <c r="P40" s="147">
        <f t="shared" si="15"/>
        <v>6628195.9249199983</v>
      </c>
      <c r="Q40" s="147">
        <f t="shared" si="15"/>
        <v>5965376.3324279981</v>
      </c>
    </row>
    <row r="41" spans="1:17">
      <c r="A41" s="145"/>
      <c r="B41" s="145"/>
      <c r="C41" s="147"/>
      <c r="D41" s="147"/>
      <c r="E41" s="147"/>
      <c r="F41" s="147"/>
      <c r="G41" s="147"/>
      <c r="H41" s="147"/>
      <c r="I41" s="147"/>
      <c r="J41" s="77"/>
      <c r="K41" s="147"/>
      <c r="L41" s="147"/>
      <c r="M41" s="147"/>
      <c r="N41" s="147"/>
      <c r="O41" s="147"/>
      <c r="P41" s="147"/>
      <c r="Q41" s="147"/>
    </row>
    <row r="42" spans="1:17">
      <c r="A42" s="146" t="s">
        <v>201</v>
      </c>
      <c r="B42" s="146"/>
      <c r="C42" s="147"/>
      <c r="D42" s="147"/>
      <c r="E42" s="147"/>
      <c r="F42" s="147"/>
      <c r="G42" s="147"/>
      <c r="H42" s="147"/>
      <c r="I42" s="147"/>
      <c r="J42" s="77"/>
      <c r="K42" s="147"/>
      <c r="L42" s="147"/>
      <c r="M42" s="147"/>
      <c r="N42" s="147"/>
      <c r="O42" s="147"/>
      <c r="P42" s="147"/>
      <c r="Q42" s="147"/>
    </row>
    <row r="43" spans="1:17">
      <c r="A43" s="145" t="s">
        <v>197</v>
      </c>
      <c r="B43" s="145"/>
      <c r="C43" s="147">
        <f>'1.Project Cost and MOF'!D6</f>
        <v>12310000</v>
      </c>
      <c r="D43" s="147">
        <f t="shared" ref="D43:I43" si="16">C46</f>
        <v>11530777</v>
      </c>
      <c r="E43" s="147">
        <f t="shared" si="16"/>
        <v>10751554</v>
      </c>
      <c r="F43" s="147">
        <f t="shared" si="16"/>
        <v>9972331</v>
      </c>
      <c r="G43" s="147">
        <f t="shared" si="16"/>
        <v>9193108</v>
      </c>
      <c r="H43" s="147">
        <f t="shared" si="16"/>
        <v>8413885</v>
      </c>
      <c r="I43" s="147">
        <f t="shared" si="16"/>
        <v>7634662</v>
      </c>
      <c r="J43" s="77"/>
      <c r="K43" s="147">
        <f>C43</f>
        <v>12310000</v>
      </c>
      <c r="L43" s="147">
        <f t="shared" ref="L43:Q43" si="17">K46</f>
        <v>10463500</v>
      </c>
      <c r="M43" s="147">
        <f t="shared" si="17"/>
        <v>8893975</v>
      </c>
      <c r="N43" s="147">
        <f t="shared" si="17"/>
        <v>7559878.75</v>
      </c>
      <c r="O43" s="147">
        <f t="shared" si="17"/>
        <v>6425896.9375</v>
      </c>
      <c r="P43" s="147">
        <f t="shared" si="17"/>
        <v>5462012.3968749996</v>
      </c>
      <c r="Q43" s="147">
        <f t="shared" si="17"/>
        <v>4642710.5373437498</v>
      </c>
    </row>
    <row r="44" spans="1:17">
      <c r="A44" s="145" t="s">
        <v>17</v>
      </c>
      <c r="B44" s="145"/>
      <c r="C44" s="147">
        <f t="shared" ref="C44:I44" si="18">$C$43*$B$78</f>
        <v>779222.99999999988</v>
      </c>
      <c r="D44" s="147">
        <f t="shared" si="18"/>
        <v>779222.99999999988</v>
      </c>
      <c r="E44" s="147">
        <f t="shared" si="18"/>
        <v>779222.99999999988</v>
      </c>
      <c r="F44" s="147">
        <f t="shared" si="18"/>
        <v>779222.99999999988</v>
      </c>
      <c r="G44" s="147">
        <f t="shared" si="18"/>
        <v>779222.99999999988</v>
      </c>
      <c r="H44" s="147">
        <f t="shared" si="18"/>
        <v>779222.99999999988</v>
      </c>
      <c r="I44" s="147">
        <f t="shared" si="18"/>
        <v>779222.99999999988</v>
      </c>
      <c r="J44" s="77"/>
      <c r="K44" s="147">
        <f t="shared" ref="K44:Q44" si="19">K43*$C$78</f>
        <v>1846500</v>
      </c>
      <c r="L44" s="147">
        <f t="shared" si="19"/>
        <v>1569525</v>
      </c>
      <c r="M44" s="147">
        <f t="shared" si="19"/>
        <v>1334096.25</v>
      </c>
      <c r="N44" s="147">
        <f t="shared" si="19"/>
        <v>1133981.8125</v>
      </c>
      <c r="O44" s="147">
        <f t="shared" si="19"/>
        <v>963884.54062499991</v>
      </c>
      <c r="P44" s="147">
        <f t="shared" si="19"/>
        <v>819301.85953124997</v>
      </c>
      <c r="Q44" s="147">
        <f t="shared" si="19"/>
        <v>696406.5806015624</v>
      </c>
    </row>
    <row r="45" spans="1:17">
      <c r="A45" s="145" t="s">
        <v>198</v>
      </c>
      <c r="B45" s="145"/>
      <c r="C45" s="147">
        <f>C44</f>
        <v>779222.99999999988</v>
      </c>
      <c r="D45" s="147">
        <f t="shared" ref="D45:I45" si="20">C45+D44</f>
        <v>1558445.9999999998</v>
      </c>
      <c r="E45" s="147">
        <f t="shared" si="20"/>
        <v>2337668.9999999995</v>
      </c>
      <c r="F45" s="147">
        <f t="shared" si="20"/>
        <v>3116891.9999999995</v>
      </c>
      <c r="G45" s="147">
        <f t="shared" si="20"/>
        <v>3896114.9999999995</v>
      </c>
      <c r="H45" s="147">
        <f t="shared" si="20"/>
        <v>4675337.9999999991</v>
      </c>
      <c r="I45" s="147">
        <f t="shared" si="20"/>
        <v>5454560.9999999991</v>
      </c>
      <c r="J45" s="77"/>
      <c r="K45" s="147">
        <f>K44</f>
        <v>1846500</v>
      </c>
      <c r="L45" s="147">
        <f t="shared" ref="L45:Q45" si="21">K45+L44</f>
        <v>3416025</v>
      </c>
      <c r="M45" s="147">
        <f t="shared" si="21"/>
        <v>4750121.25</v>
      </c>
      <c r="N45" s="147">
        <f t="shared" si="21"/>
        <v>5884103.0625</v>
      </c>
      <c r="O45" s="147">
        <f t="shared" si="21"/>
        <v>6847987.6031250004</v>
      </c>
      <c r="P45" s="147">
        <f t="shared" si="21"/>
        <v>7667289.4626562502</v>
      </c>
      <c r="Q45" s="147">
        <f t="shared" si="21"/>
        <v>8363696.043257813</v>
      </c>
    </row>
    <row r="46" spans="1:17">
      <c r="A46" s="145" t="s">
        <v>199</v>
      </c>
      <c r="B46" s="145"/>
      <c r="C46" s="147">
        <f t="shared" ref="C46:I46" si="22">C43-C44</f>
        <v>11530777</v>
      </c>
      <c r="D46" s="147">
        <f t="shared" si="22"/>
        <v>10751554</v>
      </c>
      <c r="E46" s="147">
        <f t="shared" si="22"/>
        <v>9972331</v>
      </c>
      <c r="F46" s="147">
        <f t="shared" si="22"/>
        <v>9193108</v>
      </c>
      <c r="G46" s="147">
        <f t="shared" si="22"/>
        <v>8413885</v>
      </c>
      <c r="H46" s="147">
        <f t="shared" si="22"/>
        <v>7634662</v>
      </c>
      <c r="I46" s="147">
        <f t="shared" si="22"/>
        <v>6855439</v>
      </c>
      <c r="J46" s="77"/>
      <c r="K46" s="147">
        <f t="shared" ref="K46:Q46" si="23">K43-K44</f>
        <v>10463500</v>
      </c>
      <c r="L46" s="147">
        <f t="shared" si="23"/>
        <v>8893975</v>
      </c>
      <c r="M46" s="147">
        <f t="shared" si="23"/>
        <v>7559878.75</v>
      </c>
      <c r="N46" s="147">
        <f t="shared" si="23"/>
        <v>6425896.9375</v>
      </c>
      <c r="O46" s="147">
        <f t="shared" si="23"/>
        <v>5462012.3968749996</v>
      </c>
      <c r="P46" s="147">
        <f t="shared" si="23"/>
        <v>4642710.5373437498</v>
      </c>
      <c r="Q46" s="147">
        <f t="shared" si="23"/>
        <v>3946303.9567421875</v>
      </c>
    </row>
    <row r="47" spans="1:17">
      <c r="A47" s="145"/>
      <c r="B47" s="145"/>
      <c r="C47" s="147"/>
      <c r="D47" s="147"/>
      <c r="E47" s="147"/>
      <c r="F47" s="147"/>
      <c r="G47" s="147"/>
      <c r="H47" s="147"/>
      <c r="I47" s="147"/>
      <c r="J47" s="77"/>
      <c r="K47" s="147"/>
      <c r="L47" s="147"/>
      <c r="M47" s="147"/>
      <c r="N47" s="147"/>
      <c r="O47" s="147"/>
      <c r="P47" s="147"/>
      <c r="Q47" s="147"/>
    </row>
    <row r="48" spans="1:17">
      <c r="A48" s="146" t="s">
        <v>202</v>
      </c>
      <c r="B48" s="146"/>
      <c r="C48" s="147"/>
      <c r="D48" s="147"/>
      <c r="E48" s="147"/>
      <c r="F48" s="147"/>
      <c r="G48" s="147"/>
      <c r="H48" s="147"/>
      <c r="I48" s="147"/>
      <c r="J48" s="77"/>
      <c r="K48" s="147"/>
      <c r="L48" s="147"/>
      <c r="M48" s="147"/>
      <c r="N48" s="147"/>
      <c r="O48" s="147"/>
      <c r="P48" s="147"/>
      <c r="Q48" s="147"/>
    </row>
    <row r="49" spans="1:17">
      <c r="A49" s="145" t="s">
        <v>197</v>
      </c>
      <c r="B49" s="145"/>
      <c r="C49" s="147">
        <f>'1.Project Cost and MOF'!D7</f>
        <v>0</v>
      </c>
      <c r="D49" s="147">
        <f t="shared" ref="D49:I49" si="24">C52</f>
        <v>0</v>
      </c>
      <c r="E49" s="147">
        <f t="shared" si="24"/>
        <v>0</v>
      </c>
      <c r="F49" s="147">
        <f t="shared" si="24"/>
        <v>0</v>
      </c>
      <c r="G49" s="147">
        <f t="shared" si="24"/>
        <v>0</v>
      </c>
      <c r="H49" s="147">
        <f t="shared" si="24"/>
        <v>0</v>
      </c>
      <c r="I49" s="147">
        <f t="shared" si="24"/>
        <v>0</v>
      </c>
      <c r="J49" s="77"/>
      <c r="K49" s="147">
        <f>C49</f>
        <v>0</v>
      </c>
      <c r="L49" s="147">
        <f t="shared" ref="L49:Q49" si="25">K52</f>
        <v>0</v>
      </c>
      <c r="M49" s="147">
        <f t="shared" si="25"/>
        <v>0</v>
      </c>
      <c r="N49" s="147">
        <f t="shared" si="25"/>
        <v>0</v>
      </c>
      <c r="O49" s="147">
        <f t="shared" si="25"/>
        <v>0</v>
      </c>
      <c r="P49" s="147">
        <f t="shared" si="25"/>
        <v>0</v>
      </c>
      <c r="Q49" s="147">
        <f t="shared" si="25"/>
        <v>0</v>
      </c>
    </row>
    <row r="50" spans="1:17">
      <c r="A50" s="145" t="s">
        <v>17</v>
      </c>
      <c r="B50" s="145"/>
      <c r="C50" s="147">
        <f t="shared" ref="C50:I50" si="26">$C$49*$B$75</f>
        <v>0</v>
      </c>
      <c r="D50" s="147">
        <f t="shared" si="26"/>
        <v>0</v>
      </c>
      <c r="E50" s="147">
        <f t="shared" si="26"/>
        <v>0</v>
      </c>
      <c r="F50" s="147">
        <f t="shared" si="26"/>
        <v>0</v>
      </c>
      <c r="G50" s="147">
        <f t="shared" si="26"/>
        <v>0</v>
      </c>
      <c r="H50" s="147">
        <f t="shared" si="26"/>
        <v>0</v>
      </c>
      <c r="I50" s="147">
        <f t="shared" si="26"/>
        <v>0</v>
      </c>
      <c r="J50" s="77"/>
      <c r="K50" s="147">
        <f t="shared" ref="K50:Q50" si="27">K49*$C$75</f>
        <v>0</v>
      </c>
      <c r="L50" s="147">
        <f t="shared" si="27"/>
        <v>0</v>
      </c>
      <c r="M50" s="147">
        <f t="shared" si="27"/>
        <v>0</v>
      </c>
      <c r="N50" s="147">
        <f t="shared" si="27"/>
        <v>0</v>
      </c>
      <c r="O50" s="147">
        <f t="shared" si="27"/>
        <v>0</v>
      </c>
      <c r="P50" s="147">
        <f t="shared" si="27"/>
        <v>0</v>
      </c>
      <c r="Q50" s="147">
        <f t="shared" si="27"/>
        <v>0</v>
      </c>
    </row>
    <row r="51" spans="1:17">
      <c r="A51" s="145" t="s">
        <v>198</v>
      </c>
      <c r="B51" s="145"/>
      <c r="C51" s="147">
        <f>C50</f>
        <v>0</v>
      </c>
      <c r="D51" s="147">
        <f t="shared" ref="D51:I51" si="28">C51+D50</f>
        <v>0</v>
      </c>
      <c r="E51" s="147">
        <f t="shared" si="28"/>
        <v>0</v>
      </c>
      <c r="F51" s="147">
        <f t="shared" si="28"/>
        <v>0</v>
      </c>
      <c r="G51" s="147">
        <f t="shared" si="28"/>
        <v>0</v>
      </c>
      <c r="H51" s="147">
        <f t="shared" si="28"/>
        <v>0</v>
      </c>
      <c r="I51" s="147">
        <f t="shared" si="28"/>
        <v>0</v>
      </c>
      <c r="J51" s="77"/>
      <c r="K51" s="147">
        <f>K50</f>
        <v>0</v>
      </c>
      <c r="L51" s="147">
        <f t="shared" ref="L51:Q51" si="29">K51+L50</f>
        <v>0</v>
      </c>
      <c r="M51" s="147">
        <f t="shared" si="29"/>
        <v>0</v>
      </c>
      <c r="N51" s="147">
        <f t="shared" si="29"/>
        <v>0</v>
      </c>
      <c r="O51" s="147">
        <f t="shared" si="29"/>
        <v>0</v>
      </c>
      <c r="P51" s="147">
        <f t="shared" si="29"/>
        <v>0</v>
      </c>
      <c r="Q51" s="147">
        <f t="shared" si="29"/>
        <v>0</v>
      </c>
    </row>
    <row r="52" spans="1:17">
      <c r="A52" s="145" t="s">
        <v>199</v>
      </c>
      <c r="B52" s="145"/>
      <c r="C52" s="147">
        <f t="shared" ref="C52:I52" si="30">C49-C50</f>
        <v>0</v>
      </c>
      <c r="D52" s="147">
        <f t="shared" si="30"/>
        <v>0</v>
      </c>
      <c r="E52" s="147">
        <f t="shared" si="30"/>
        <v>0</v>
      </c>
      <c r="F52" s="147">
        <f t="shared" si="30"/>
        <v>0</v>
      </c>
      <c r="G52" s="147">
        <f t="shared" si="30"/>
        <v>0</v>
      </c>
      <c r="H52" s="147">
        <f t="shared" si="30"/>
        <v>0</v>
      </c>
      <c r="I52" s="147">
        <f t="shared" si="30"/>
        <v>0</v>
      </c>
      <c r="J52" s="77"/>
      <c r="K52" s="147">
        <f t="shared" ref="K52:Q52" si="31">K49-K50</f>
        <v>0</v>
      </c>
      <c r="L52" s="147">
        <f t="shared" si="31"/>
        <v>0</v>
      </c>
      <c r="M52" s="147">
        <f t="shared" si="31"/>
        <v>0</v>
      </c>
      <c r="N52" s="147">
        <f t="shared" si="31"/>
        <v>0</v>
      </c>
      <c r="O52" s="147">
        <f t="shared" si="31"/>
        <v>0</v>
      </c>
      <c r="P52" s="147">
        <f t="shared" si="31"/>
        <v>0</v>
      </c>
      <c r="Q52" s="147">
        <f t="shared" si="31"/>
        <v>0</v>
      </c>
    </row>
    <row r="53" spans="1:17">
      <c r="A53" s="145"/>
      <c r="B53" s="145"/>
      <c r="C53" s="147"/>
      <c r="D53" s="147"/>
      <c r="E53" s="147"/>
      <c r="F53" s="147"/>
      <c r="G53" s="147"/>
      <c r="H53" s="147"/>
      <c r="I53" s="147"/>
      <c r="J53" s="77"/>
      <c r="K53" s="147"/>
      <c r="L53" s="147"/>
      <c r="M53" s="147"/>
      <c r="N53" s="147"/>
      <c r="O53" s="147"/>
      <c r="P53" s="147"/>
      <c r="Q53" s="147"/>
    </row>
    <row r="54" spans="1:17">
      <c r="A54" s="146" t="s">
        <v>159</v>
      </c>
      <c r="B54" s="146"/>
      <c r="C54" s="147"/>
      <c r="D54" s="147"/>
      <c r="E54" s="147"/>
      <c r="F54" s="147"/>
      <c r="G54" s="147"/>
      <c r="H54" s="147"/>
      <c r="I54" s="147"/>
      <c r="J54" s="77"/>
      <c r="K54" s="147"/>
      <c r="L54" s="147"/>
      <c r="M54" s="147"/>
      <c r="N54" s="147"/>
      <c r="O54" s="147"/>
      <c r="P54" s="147"/>
      <c r="Q54" s="147"/>
    </row>
    <row r="55" spans="1:17">
      <c r="A55" s="145" t="s">
        <v>197</v>
      </c>
      <c r="B55" s="145"/>
      <c r="C55" s="147">
        <f>'1.Project Cost and MOF'!D9</f>
        <v>0</v>
      </c>
      <c r="D55" s="147">
        <f t="shared" ref="D55:I55" si="32">C58</f>
        <v>0</v>
      </c>
      <c r="E55" s="147">
        <f t="shared" si="32"/>
        <v>0</v>
      </c>
      <c r="F55" s="147">
        <f t="shared" si="32"/>
        <v>0</v>
      </c>
      <c r="G55" s="147">
        <f t="shared" si="32"/>
        <v>0</v>
      </c>
      <c r="H55" s="147">
        <f t="shared" si="32"/>
        <v>0</v>
      </c>
      <c r="I55" s="147">
        <f t="shared" si="32"/>
        <v>0</v>
      </c>
      <c r="J55" s="77"/>
      <c r="K55" s="147">
        <f>C55</f>
        <v>0</v>
      </c>
      <c r="L55" s="147">
        <f t="shared" ref="L55:Q55" si="33">K58</f>
        <v>0</v>
      </c>
      <c r="M55" s="147">
        <f t="shared" si="33"/>
        <v>0</v>
      </c>
      <c r="N55" s="147">
        <f t="shared" si="33"/>
        <v>0</v>
      </c>
      <c r="O55" s="147">
        <f t="shared" si="33"/>
        <v>0</v>
      </c>
      <c r="P55" s="147">
        <f t="shared" si="33"/>
        <v>0</v>
      </c>
      <c r="Q55" s="147">
        <f t="shared" si="33"/>
        <v>0</v>
      </c>
    </row>
    <row r="56" spans="1:17">
      <c r="A56" s="145" t="s">
        <v>17</v>
      </c>
      <c r="B56" s="145"/>
      <c r="C56" s="147">
        <f t="shared" ref="C56:I56" si="34">$C$55*$B$77</f>
        <v>0</v>
      </c>
      <c r="D56" s="147">
        <f t="shared" si="34"/>
        <v>0</v>
      </c>
      <c r="E56" s="147">
        <f t="shared" si="34"/>
        <v>0</v>
      </c>
      <c r="F56" s="147">
        <f t="shared" si="34"/>
        <v>0</v>
      </c>
      <c r="G56" s="147">
        <f t="shared" si="34"/>
        <v>0</v>
      </c>
      <c r="H56" s="147">
        <f t="shared" si="34"/>
        <v>0</v>
      </c>
      <c r="I56" s="147">
        <f t="shared" si="34"/>
        <v>0</v>
      </c>
      <c r="J56" s="77"/>
      <c r="K56" s="147">
        <f t="shared" ref="K56:Q56" si="35">K55*$C$77</f>
        <v>0</v>
      </c>
      <c r="L56" s="147">
        <f t="shared" si="35"/>
        <v>0</v>
      </c>
      <c r="M56" s="147">
        <f t="shared" si="35"/>
        <v>0</v>
      </c>
      <c r="N56" s="147">
        <f t="shared" si="35"/>
        <v>0</v>
      </c>
      <c r="O56" s="147">
        <f t="shared" si="35"/>
        <v>0</v>
      </c>
      <c r="P56" s="147">
        <f t="shared" si="35"/>
        <v>0</v>
      </c>
      <c r="Q56" s="147">
        <f t="shared" si="35"/>
        <v>0</v>
      </c>
    </row>
    <row r="57" spans="1:17">
      <c r="A57" s="145" t="s">
        <v>198</v>
      </c>
      <c r="B57" s="145"/>
      <c r="C57" s="147">
        <f>C56</f>
        <v>0</v>
      </c>
      <c r="D57" s="147">
        <f t="shared" ref="D57:I57" si="36">C57+D56</f>
        <v>0</v>
      </c>
      <c r="E57" s="147">
        <f t="shared" si="36"/>
        <v>0</v>
      </c>
      <c r="F57" s="147">
        <f t="shared" si="36"/>
        <v>0</v>
      </c>
      <c r="G57" s="147">
        <f t="shared" si="36"/>
        <v>0</v>
      </c>
      <c r="H57" s="147">
        <f t="shared" si="36"/>
        <v>0</v>
      </c>
      <c r="I57" s="147">
        <f t="shared" si="36"/>
        <v>0</v>
      </c>
      <c r="J57" s="77"/>
      <c r="K57" s="147">
        <f>K56</f>
        <v>0</v>
      </c>
      <c r="L57" s="147">
        <f t="shared" ref="L57:Q57" si="37">K57+L56</f>
        <v>0</v>
      </c>
      <c r="M57" s="147">
        <f t="shared" si="37"/>
        <v>0</v>
      </c>
      <c r="N57" s="147">
        <f t="shared" si="37"/>
        <v>0</v>
      </c>
      <c r="O57" s="147">
        <f t="shared" si="37"/>
        <v>0</v>
      </c>
      <c r="P57" s="147">
        <f t="shared" si="37"/>
        <v>0</v>
      </c>
      <c r="Q57" s="147">
        <f t="shared" si="37"/>
        <v>0</v>
      </c>
    </row>
    <row r="58" spans="1:17">
      <c r="A58" s="145" t="s">
        <v>199</v>
      </c>
      <c r="B58" s="145"/>
      <c r="C58" s="147">
        <f t="shared" ref="C58:I58" si="38">C55-C56</f>
        <v>0</v>
      </c>
      <c r="D58" s="147">
        <f t="shared" si="38"/>
        <v>0</v>
      </c>
      <c r="E58" s="147">
        <f t="shared" si="38"/>
        <v>0</v>
      </c>
      <c r="F58" s="147">
        <f t="shared" si="38"/>
        <v>0</v>
      </c>
      <c r="G58" s="147">
        <f t="shared" si="38"/>
        <v>0</v>
      </c>
      <c r="H58" s="147">
        <f t="shared" si="38"/>
        <v>0</v>
      </c>
      <c r="I58" s="147">
        <f t="shared" si="38"/>
        <v>0</v>
      </c>
      <c r="J58" s="77"/>
      <c r="K58" s="147">
        <f t="shared" ref="K58:Q58" si="39">K55-K56</f>
        <v>0</v>
      </c>
      <c r="L58" s="147">
        <f t="shared" si="39"/>
        <v>0</v>
      </c>
      <c r="M58" s="147">
        <f t="shared" si="39"/>
        <v>0</v>
      </c>
      <c r="N58" s="147">
        <f t="shared" si="39"/>
        <v>0</v>
      </c>
      <c r="O58" s="147">
        <f t="shared" si="39"/>
        <v>0</v>
      </c>
      <c r="P58" s="147">
        <f t="shared" si="39"/>
        <v>0</v>
      </c>
      <c r="Q58" s="147">
        <f t="shared" si="39"/>
        <v>0</v>
      </c>
    </row>
    <row r="59" spans="1:17">
      <c r="A59" s="145"/>
      <c r="B59" s="145"/>
      <c r="C59" s="147"/>
      <c r="D59" s="147"/>
      <c r="E59" s="147"/>
      <c r="F59" s="147"/>
      <c r="G59" s="147"/>
      <c r="H59" s="147"/>
      <c r="I59" s="147"/>
      <c r="J59" s="77"/>
      <c r="K59" s="147"/>
      <c r="L59" s="147"/>
      <c r="M59" s="147"/>
      <c r="N59" s="147"/>
      <c r="O59" s="147"/>
      <c r="P59" s="147"/>
      <c r="Q59" s="147"/>
    </row>
    <row r="60" spans="1:17">
      <c r="A60" s="286" t="s">
        <v>332</v>
      </c>
      <c r="B60" s="145"/>
      <c r="C60" s="147"/>
      <c r="D60" s="147"/>
      <c r="E60" s="147"/>
      <c r="F60" s="147"/>
      <c r="G60" s="147"/>
      <c r="H60" s="147"/>
      <c r="I60" s="147"/>
      <c r="J60" s="77"/>
      <c r="K60" s="147"/>
      <c r="L60" s="147"/>
      <c r="M60" s="147"/>
      <c r="N60" s="147"/>
      <c r="O60" s="147"/>
      <c r="P60" s="147"/>
      <c r="Q60" s="147"/>
    </row>
    <row r="61" spans="1:17">
      <c r="A61" s="145" t="str">
        <f>A55</f>
        <v>Asset Value</v>
      </c>
      <c r="B61" s="145"/>
      <c r="C61" s="147">
        <f>'1.Project Cost and MOF'!D8</f>
        <v>0</v>
      </c>
      <c r="D61" s="147">
        <f t="shared" ref="D61:I61" si="40">C64</f>
        <v>0</v>
      </c>
      <c r="E61" s="147">
        <f t="shared" si="40"/>
        <v>0</v>
      </c>
      <c r="F61" s="147">
        <f t="shared" si="40"/>
        <v>0</v>
      </c>
      <c r="G61" s="147">
        <f t="shared" si="40"/>
        <v>0</v>
      </c>
      <c r="H61" s="147">
        <f t="shared" si="40"/>
        <v>0</v>
      </c>
      <c r="I61" s="147">
        <f t="shared" si="40"/>
        <v>0</v>
      </c>
      <c r="J61" s="77"/>
      <c r="K61" s="147">
        <f>C61</f>
        <v>0</v>
      </c>
      <c r="L61" s="147">
        <f t="shared" ref="L61:Q61" si="41">K64</f>
        <v>0</v>
      </c>
      <c r="M61" s="147">
        <f t="shared" si="41"/>
        <v>0</v>
      </c>
      <c r="N61" s="147">
        <f t="shared" si="41"/>
        <v>0</v>
      </c>
      <c r="O61" s="147">
        <f t="shared" si="41"/>
        <v>0</v>
      </c>
      <c r="P61" s="147">
        <f t="shared" si="41"/>
        <v>0</v>
      </c>
      <c r="Q61" s="147">
        <f t="shared" si="41"/>
        <v>0</v>
      </c>
    </row>
    <row r="62" spans="1:17">
      <c r="A62" s="145" t="str">
        <f>A56</f>
        <v>Depreciation</v>
      </c>
      <c r="B62" s="145"/>
      <c r="C62" s="147">
        <f t="shared" ref="C62:I62" si="42">$C$61*$B$76</f>
        <v>0</v>
      </c>
      <c r="D62" s="147">
        <f t="shared" si="42"/>
        <v>0</v>
      </c>
      <c r="E62" s="147">
        <f t="shared" si="42"/>
        <v>0</v>
      </c>
      <c r="F62" s="147">
        <f t="shared" si="42"/>
        <v>0</v>
      </c>
      <c r="G62" s="147">
        <f t="shared" si="42"/>
        <v>0</v>
      </c>
      <c r="H62" s="147">
        <f t="shared" si="42"/>
        <v>0</v>
      </c>
      <c r="I62" s="147">
        <f t="shared" si="42"/>
        <v>0</v>
      </c>
      <c r="J62" s="77"/>
      <c r="K62" s="147">
        <f t="shared" ref="K62:Q62" si="43">K61*$C$76</f>
        <v>0</v>
      </c>
      <c r="L62" s="147">
        <f t="shared" si="43"/>
        <v>0</v>
      </c>
      <c r="M62" s="147">
        <f t="shared" si="43"/>
        <v>0</v>
      </c>
      <c r="N62" s="147">
        <f t="shared" si="43"/>
        <v>0</v>
      </c>
      <c r="O62" s="147">
        <f t="shared" si="43"/>
        <v>0</v>
      </c>
      <c r="P62" s="147">
        <f t="shared" si="43"/>
        <v>0</v>
      </c>
      <c r="Q62" s="147">
        <f t="shared" si="43"/>
        <v>0</v>
      </c>
    </row>
    <row r="63" spans="1:17">
      <c r="A63" s="145" t="str">
        <f>A57</f>
        <v>Accumulated Depreciation</v>
      </c>
      <c r="B63" s="145"/>
      <c r="C63" s="147">
        <f>C62</f>
        <v>0</v>
      </c>
      <c r="D63" s="147">
        <f t="shared" ref="D63:I63" si="44">D62+C63</f>
        <v>0</v>
      </c>
      <c r="E63" s="147">
        <f t="shared" si="44"/>
        <v>0</v>
      </c>
      <c r="F63" s="147">
        <f t="shared" si="44"/>
        <v>0</v>
      </c>
      <c r="G63" s="147">
        <f t="shared" si="44"/>
        <v>0</v>
      </c>
      <c r="H63" s="147">
        <f t="shared" si="44"/>
        <v>0</v>
      </c>
      <c r="I63" s="147">
        <f t="shared" si="44"/>
        <v>0</v>
      </c>
      <c r="J63" s="77"/>
      <c r="K63" s="147">
        <f>K62</f>
        <v>0</v>
      </c>
      <c r="L63" s="147">
        <f t="shared" ref="L63:Q63" si="45">L62+K63</f>
        <v>0</v>
      </c>
      <c r="M63" s="147">
        <f t="shared" si="45"/>
        <v>0</v>
      </c>
      <c r="N63" s="147">
        <f t="shared" si="45"/>
        <v>0</v>
      </c>
      <c r="O63" s="147">
        <f t="shared" si="45"/>
        <v>0</v>
      </c>
      <c r="P63" s="147">
        <f t="shared" si="45"/>
        <v>0</v>
      </c>
      <c r="Q63" s="147">
        <f t="shared" si="45"/>
        <v>0</v>
      </c>
    </row>
    <row r="64" spans="1:17">
      <c r="A64" s="145" t="str">
        <f>A58</f>
        <v>Net Fixed Assets</v>
      </c>
      <c r="B64" s="145"/>
      <c r="C64" s="147">
        <f t="shared" ref="C64:I64" si="46">C61-C62</f>
        <v>0</v>
      </c>
      <c r="D64" s="147">
        <f t="shared" si="46"/>
        <v>0</v>
      </c>
      <c r="E64" s="147">
        <f t="shared" si="46"/>
        <v>0</v>
      </c>
      <c r="F64" s="147">
        <f t="shared" si="46"/>
        <v>0</v>
      </c>
      <c r="G64" s="147">
        <f t="shared" si="46"/>
        <v>0</v>
      </c>
      <c r="H64" s="147">
        <f t="shared" si="46"/>
        <v>0</v>
      </c>
      <c r="I64" s="147">
        <f t="shared" si="46"/>
        <v>0</v>
      </c>
      <c r="J64" s="77"/>
      <c r="K64" s="147">
        <f t="shared" ref="K64:Q64" si="47">K61-K62</f>
        <v>0</v>
      </c>
      <c r="L64" s="147">
        <f t="shared" si="47"/>
        <v>0</v>
      </c>
      <c r="M64" s="147">
        <f t="shared" si="47"/>
        <v>0</v>
      </c>
      <c r="N64" s="147">
        <f t="shared" si="47"/>
        <v>0</v>
      </c>
      <c r="O64" s="147">
        <f t="shared" si="47"/>
        <v>0</v>
      </c>
      <c r="P64" s="147">
        <f t="shared" si="47"/>
        <v>0</v>
      </c>
      <c r="Q64" s="147">
        <f t="shared" si="47"/>
        <v>0</v>
      </c>
    </row>
    <row r="65" spans="1:17">
      <c r="A65" s="146" t="s">
        <v>203</v>
      </c>
      <c r="B65" s="146"/>
      <c r="C65" s="141">
        <f t="shared" ref="C65:I68" si="48">C49+C43+C37+C55+C61</f>
        <v>24782120</v>
      </c>
      <c r="D65" s="141">
        <f t="shared" si="48"/>
        <v>23607530.796</v>
      </c>
      <c r="E65" s="141">
        <f t="shared" si="48"/>
        <v>22432941.592</v>
      </c>
      <c r="F65" s="141">
        <f t="shared" si="48"/>
        <v>21258352.388</v>
      </c>
      <c r="G65" s="141">
        <f t="shared" si="48"/>
        <v>20083763.184</v>
      </c>
      <c r="H65" s="141">
        <f t="shared" si="48"/>
        <v>18909173.98</v>
      </c>
      <c r="I65" s="141">
        <f t="shared" si="48"/>
        <v>17734584.776000001</v>
      </c>
      <c r="J65" s="77"/>
      <c r="K65" s="141">
        <f t="shared" ref="K65:Q68" si="49">K49+K43+K37+K55+K61</f>
        <v>24782120</v>
      </c>
      <c r="L65" s="141">
        <f t="shared" si="49"/>
        <v>21688408</v>
      </c>
      <c r="M65" s="141">
        <f t="shared" si="49"/>
        <v>18996392.199999999</v>
      </c>
      <c r="N65" s="141">
        <f t="shared" si="49"/>
        <v>16652054.229999999</v>
      </c>
      <c r="O65" s="141">
        <f t="shared" si="49"/>
        <v>14608854.869499998</v>
      </c>
      <c r="P65" s="141">
        <f t="shared" si="49"/>
        <v>12826674.535674997</v>
      </c>
      <c r="Q65" s="141">
        <f t="shared" si="49"/>
        <v>11270906.462263748</v>
      </c>
    </row>
    <row r="66" spans="1:17">
      <c r="A66" s="146" t="s">
        <v>204</v>
      </c>
      <c r="B66" s="146"/>
      <c r="C66" s="141">
        <f t="shared" si="48"/>
        <v>1174589.2039999999</v>
      </c>
      <c r="D66" s="141">
        <f t="shared" si="48"/>
        <v>1174589.2039999999</v>
      </c>
      <c r="E66" s="141">
        <f t="shared" si="48"/>
        <v>1174589.2039999999</v>
      </c>
      <c r="F66" s="141">
        <f t="shared" si="48"/>
        <v>1174589.2039999999</v>
      </c>
      <c r="G66" s="141">
        <f t="shared" si="48"/>
        <v>1174589.2039999999</v>
      </c>
      <c r="H66" s="141">
        <f t="shared" si="48"/>
        <v>1174589.2039999999</v>
      </c>
      <c r="I66" s="141">
        <f t="shared" si="48"/>
        <v>1174589.2039999999</v>
      </c>
      <c r="J66" s="77"/>
      <c r="K66" s="141">
        <f t="shared" si="49"/>
        <v>3093712</v>
      </c>
      <c r="L66" s="141">
        <f t="shared" si="49"/>
        <v>2692015.8</v>
      </c>
      <c r="M66" s="141">
        <f t="shared" si="49"/>
        <v>2344337.9699999997</v>
      </c>
      <c r="N66" s="141">
        <f t="shared" si="49"/>
        <v>2043199.3605</v>
      </c>
      <c r="O66" s="141">
        <f t="shared" si="49"/>
        <v>1782180.3338249996</v>
      </c>
      <c r="P66" s="141">
        <f t="shared" si="49"/>
        <v>1555768.0734112498</v>
      </c>
      <c r="Q66" s="141">
        <f t="shared" si="49"/>
        <v>1359226.1730935622</v>
      </c>
    </row>
    <row r="67" spans="1:17">
      <c r="A67" s="146" t="s">
        <v>205</v>
      </c>
      <c r="B67" s="146"/>
      <c r="C67" s="141">
        <f t="shared" si="48"/>
        <v>1174589.2039999999</v>
      </c>
      <c r="D67" s="141">
        <f t="shared" si="48"/>
        <v>2349178.4079999998</v>
      </c>
      <c r="E67" s="141">
        <f t="shared" si="48"/>
        <v>3523767.6119999997</v>
      </c>
      <c r="F67" s="141">
        <f t="shared" si="48"/>
        <v>4698356.8159999996</v>
      </c>
      <c r="G67" s="141">
        <f t="shared" si="48"/>
        <v>5872946.0199999996</v>
      </c>
      <c r="H67" s="141">
        <f t="shared" si="48"/>
        <v>7047535.2239999995</v>
      </c>
      <c r="I67" s="141">
        <f t="shared" si="48"/>
        <v>8222124.4279999994</v>
      </c>
      <c r="J67" s="77"/>
      <c r="K67" s="141">
        <f t="shared" si="49"/>
        <v>3093712</v>
      </c>
      <c r="L67" s="141">
        <f t="shared" si="49"/>
        <v>5785727.7999999998</v>
      </c>
      <c r="M67" s="141">
        <f t="shared" si="49"/>
        <v>8130065.7699999996</v>
      </c>
      <c r="N67" s="141">
        <f t="shared" si="49"/>
        <v>10173265.1305</v>
      </c>
      <c r="O67" s="141">
        <f t="shared" si="49"/>
        <v>11955445.464325</v>
      </c>
      <c r="P67" s="141">
        <f t="shared" si="49"/>
        <v>13511213.53773625</v>
      </c>
      <c r="Q67" s="141">
        <f t="shared" si="49"/>
        <v>14870439.710829813</v>
      </c>
    </row>
    <row r="68" spans="1:17">
      <c r="A68" s="146" t="s">
        <v>199</v>
      </c>
      <c r="B68" s="146"/>
      <c r="C68" s="141">
        <f t="shared" si="48"/>
        <v>23607530.796</v>
      </c>
      <c r="D68" s="141">
        <f t="shared" si="48"/>
        <v>22432941.592</v>
      </c>
      <c r="E68" s="141">
        <f t="shared" si="48"/>
        <v>21258352.388</v>
      </c>
      <c r="F68" s="141">
        <f t="shared" si="48"/>
        <v>20083763.184</v>
      </c>
      <c r="G68" s="141">
        <f t="shared" si="48"/>
        <v>18909173.98</v>
      </c>
      <c r="H68" s="141">
        <f t="shared" si="48"/>
        <v>17734584.776000001</v>
      </c>
      <c r="I68" s="141">
        <f t="shared" si="48"/>
        <v>16559995.572000001</v>
      </c>
      <c r="J68" s="77"/>
      <c r="K68" s="141">
        <f t="shared" si="49"/>
        <v>21688408</v>
      </c>
      <c r="L68" s="141">
        <f t="shared" si="49"/>
        <v>18996392.199999999</v>
      </c>
      <c r="M68" s="141">
        <f t="shared" si="49"/>
        <v>16652054.229999999</v>
      </c>
      <c r="N68" s="141">
        <f t="shared" si="49"/>
        <v>14608854.869499998</v>
      </c>
      <c r="O68" s="141">
        <f t="shared" si="49"/>
        <v>12826674.535674997</v>
      </c>
      <c r="P68" s="141">
        <f t="shared" si="49"/>
        <v>11270906.462263748</v>
      </c>
      <c r="Q68" s="141">
        <f t="shared" si="49"/>
        <v>9911680.2891701851</v>
      </c>
    </row>
    <row r="69" spans="1:17">
      <c r="A69" s="150"/>
      <c r="B69" s="150"/>
      <c r="C69" s="151"/>
      <c r="D69" s="151"/>
      <c r="E69" s="151"/>
      <c r="F69" s="151"/>
      <c r="G69" s="151"/>
      <c r="H69" s="151"/>
      <c r="I69" s="151"/>
      <c r="J69" s="76"/>
    </row>
    <row r="70" spans="1:17">
      <c r="A70" s="76"/>
      <c r="B70" s="76"/>
      <c r="C70" s="76"/>
      <c r="D70" s="76"/>
      <c r="E70" s="76"/>
      <c r="F70" s="76"/>
      <c r="G70" s="76"/>
      <c r="H70" s="76"/>
      <c r="I70" s="76"/>
      <c r="J70" s="76"/>
    </row>
    <row r="71" spans="1:17" ht="29.25">
      <c r="A71" s="152" t="s">
        <v>206</v>
      </c>
      <c r="B71" s="153" t="s">
        <v>207</v>
      </c>
      <c r="C71" s="154" t="s">
        <v>208</v>
      </c>
      <c r="D71" s="76"/>
      <c r="E71" s="76"/>
      <c r="F71" s="76"/>
      <c r="G71" s="76"/>
      <c r="H71" s="76"/>
      <c r="I71" s="76"/>
      <c r="J71" s="76"/>
    </row>
    <row r="72" spans="1:17" ht="29.25">
      <c r="A72" s="155" t="s">
        <v>209</v>
      </c>
      <c r="B72" s="153" t="s">
        <v>210</v>
      </c>
      <c r="C72" s="154" t="s">
        <v>211</v>
      </c>
      <c r="D72" s="76"/>
      <c r="E72" s="76"/>
      <c r="F72" s="76"/>
      <c r="G72" s="76"/>
      <c r="H72" s="76"/>
      <c r="I72" s="76"/>
      <c r="J72" s="76"/>
    </row>
    <row r="73" spans="1:17">
      <c r="A73" s="155" t="s">
        <v>149</v>
      </c>
      <c r="B73" s="156">
        <v>0</v>
      </c>
      <c r="C73" s="156">
        <v>0</v>
      </c>
      <c r="D73" s="76"/>
      <c r="E73" s="76"/>
      <c r="F73" s="76"/>
      <c r="G73" s="76"/>
      <c r="H73" s="76"/>
      <c r="I73" s="76"/>
      <c r="J73" s="76"/>
    </row>
    <row r="74" spans="1:17">
      <c r="A74" s="157" t="s">
        <v>200</v>
      </c>
      <c r="B74" s="156">
        <v>3.1699999999999999E-2</v>
      </c>
      <c r="C74" s="156">
        <v>0.1</v>
      </c>
      <c r="D74" s="158"/>
      <c r="E74" s="76"/>
      <c r="F74" s="76"/>
      <c r="G74" s="76"/>
      <c r="H74" s="76"/>
      <c r="I74" s="76"/>
      <c r="J74" s="76"/>
    </row>
    <row r="75" spans="1:17">
      <c r="A75" s="157" t="s">
        <v>202</v>
      </c>
      <c r="B75" s="159">
        <v>0.1</v>
      </c>
      <c r="C75" s="156">
        <v>0.1</v>
      </c>
      <c r="D75" s="76"/>
      <c r="E75" s="76"/>
      <c r="F75" s="76"/>
      <c r="G75" s="76"/>
      <c r="H75" s="76"/>
      <c r="I75" s="76"/>
      <c r="J75" s="76"/>
    </row>
    <row r="76" spans="1:17">
      <c r="A76" s="76" t="s">
        <v>212</v>
      </c>
      <c r="B76" s="159">
        <v>0.1</v>
      </c>
      <c r="C76" s="159">
        <v>0.4</v>
      </c>
      <c r="D76" s="76"/>
      <c r="E76" s="76"/>
      <c r="F76" s="76"/>
      <c r="G76" s="76"/>
      <c r="H76" s="76"/>
      <c r="I76" s="76"/>
      <c r="J76" s="76"/>
    </row>
    <row r="77" spans="1:17">
      <c r="A77" s="76" t="s">
        <v>277</v>
      </c>
      <c r="B77" s="159">
        <v>0.1188</v>
      </c>
      <c r="C77" s="159">
        <v>0.15</v>
      </c>
      <c r="D77" s="76"/>
      <c r="E77" s="76"/>
      <c r="F77" s="76"/>
      <c r="G77" s="76"/>
      <c r="H77" s="76"/>
      <c r="I77" s="76"/>
      <c r="J77" s="76"/>
    </row>
    <row r="78" spans="1:17">
      <c r="A78" s="157" t="s">
        <v>213</v>
      </c>
      <c r="B78" s="159">
        <v>6.3299999999999995E-2</v>
      </c>
      <c r="C78" s="159">
        <v>0.15</v>
      </c>
      <c r="D78" s="76"/>
      <c r="E78" s="76"/>
      <c r="F78" s="76"/>
      <c r="G78" s="76"/>
      <c r="H78" s="76"/>
      <c r="I78" s="76"/>
      <c r="J78" s="76"/>
    </row>
    <row r="79" spans="1:17" ht="29.25">
      <c r="A79" s="155" t="s">
        <v>206</v>
      </c>
      <c r="B79" s="156"/>
      <c r="C79" s="158"/>
      <c r="D79" s="76"/>
      <c r="E79" s="76"/>
      <c r="F79" s="76"/>
      <c r="G79" s="76"/>
      <c r="H79" s="76"/>
      <c r="I79" s="76"/>
      <c r="J79" s="76"/>
    </row>
    <row r="80" spans="1:17">
      <c r="A80" s="157" t="s">
        <v>214</v>
      </c>
      <c r="B80" s="158">
        <v>0.2</v>
      </c>
      <c r="C80" s="158">
        <v>0.2</v>
      </c>
      <c r="D80" s="76"/>
      <c r="E80" s="76"/>
      <c r="F80" s="76"/>
      <c r="G80" s="76"/>
      <c r="H80" s="76"/>
      <c r="I80" s="76"/>
      <c r="J80" s="76"/>
    </row>
    <row r="81" spans="1:12">
      <c r="A81" s="76"/>
      <c r="B81" s="76"/>
      <c r="C81" s="76"/>
      <c r="D81" s="76"/>
      <c r="E81" s="76"/>
      <c r="F81" s="76"/>
      <c r="G81" s="76"/>
      <c r="H81" s="76"/>
      <c r="I81" s="76"/>
      <c r="J81" s="76"/>
    </row>
    <row r="82" spans="1:12">
      <c r="A82" s="76"/>
      <c r="B82" s="76"/>
      <c r="C82" s="76"/>
      <c r="D82" s="76"/>
      <c r="E82" s="160"/>
      <c r="F82" s="76"/>
      <c r="G82" s="76"/>
      <c r="H82" s="76"/>
      <c r="I82" s="76"/>
      <c r="J82" s="76"/>
    </row>
    <row r="83" spans="1:12" s="25" customFormat="1" ht="18.75">
      <c r="A83" s="362" t="s">
        <v>564</v>
      </c>
      <c r="B83" s="362"/>
      <c r="C83" s="362"/>
      <c r="D83" s="362"/>
      <c r="E83" s="362"/>
      <c r="F83" s="362"/>
      <c r="G83" s="362"/>
      <c r="H83" s="362"/>
      <c r="I83" s="362"/>
      <c r="J83" s="362"/>
    </row>
    <row r="84" spans="1:12" s="25" customFormat="1">
      <c r="A84" s="26"/>
      <c r="B84" s="26"/>
    </row>
    <row r="85" spans="1:12" s="25" customFormat="1">
      <c r="A85" s="133" t="s">
        <v>0</v>
      </c>
      <c r="B85" s="134" t="s">
        <v>342</v>
      </c>
      <c r="C85" s="135" t="s">
        <v>2</v>
      </c>
      <c r="D85" s="135" t="s">
        <v>3</v>
      </c>
      <c r="E85" s="135" t="s">
        <v>4</v>
      </c>
      <c r="F85" s="135" t="s">
        <v>5</v>
      </c>
      <c r="G85" s="135" t="s">
        <v>6</v>
      </c>
      <c r="H85" s="135" t="s">
        <v>169</v>
      </c>
      <c r="I85" s="135" t="s">
        <v>168</v>
      </c>
      <c r="J85" s="29"/>
      <c r="K85" s="29"/>
      <c r="L85" s="29"/>
    </row>
    <row r="86" spans="1:12" s="25" customFormat="1">
      <c r="A86" s="136" t="s">
        <v>255</v>
      </c>
      <c r="B86" s="137">
        <v>5</v>
      </c>
      <c r="C86" s="138">
        <f>'1.Project Cost and MOF'!$D$10/5</f>
        <v>250000</v>
      </c>
      <c r="D86" s="138">
        <f>'1.Project Cost and MOF'!$D$10/5</f>
        <v>250000</v>
      </c>
      <c r="E86" s="138">
        <f>'1.Project Cost and MOF'!$D$10/5</f>
        <v>250000</v>
      </c>
      <c r="F86" s="138">
        <f>'1.Project Cost and MOF'!$D$10/5</f>
        <v>250000</v>
      </c>
      <c r="G86" s="138">
        <f>'1.Project Cost and MOF'!$D$10/5</f>
        <v>250000</v>
      </c>
      <c r="H86" s="138">
        <v>0</v>
      </c>
      <c r="I86" s="138">
        <v>0</v>
      </c>
      <c r="J86" s="29"/>
      <c r="K86" s="29"/>
      <c r="L86" s="29"/>
    </row>
    <row r="87" spans="1:12" s="25" customFormat="1">
      <c r="A87" s="139" t="s">
        <v>343</v>
      </c>
      <c r="B87" s="140"/>
      <c r="C87" s="141">
        <f t="shared" ref="C87:I87" si="50">SUM(C85:C86)</f>
        <v>250000</v>
      </c>
      <c r="D87" s="141">
        <f t="shared" si="50"/>
        <v>250000</v>
      </c>
      <c r="E87" s="141">
        <f t="shared" si="50"/>
        <v>250000</v>
      </c>
      <c r="F87" s="141">
        <f t="shared" si="50"/>
        <v>250000</v>
      </c>
      <c r="G87" s="141">
        <f t="shared" si="50"/>
        <v>250000</v>
      </c>
      <c r="H87" s="141">
        <f t="shared" si="50"/>
        <v>0</v>
      </c>
      <c r="I87" s="141">
        <f t="shared" si="50"/>
        <v>0</v>
      </c>
      <c r="J87" s="52"/>
      <c r="K87" s="52"/>
      <c r="L87" s="52"/>
    </row>
    <row r="88" spans="1:12" s="25" customFormat="1">
      <c r="C88" s="29"/>
      <c r="D88" s="29"/>
      <c r="E88" s="29"/>
      <c r="F88" s="29"/>
      <c r="G88" s="29"/>
      <c r="H88" s="29"/>
      <c r="I88" s="29"/>
      <c r="J88" s="29"/>
      <c r="K88" s="29"/>
      <c r="L88" s="29"/>
    </row>
    <row r="91" spans="1:12">
      <c r="A91" s="24"/>
      <c r="B91" s="25"/>
      <c r="C91" s="25"/>
      <c r="D91" s="25"/>
      <c r="E91" s="25"/>
      <c r="F91" s="25"/>
      <c r="G91" s="25"/>
      <c r="H91" s="25"/>
      <c r="I91" s="25"/>
      <c r="J91" s="25"/>
      <c r="K91" s="25"/>
    </row>
    <row r="92" spans="1:12" ht="18.75">
      <c r="A92" s="374" t="s">
        <v>565</v>
      </c>
      <c r="B92" s="374"/>
      <c r="C92" s="374"/>
      <c r="D92" s="374"/>
      <c r="E92" s="374"/>
      <c r="F92" s="374"/>
      <c r="G92" s="374"/>
      <c r="H92" s="374"/>
      <c r="I92" s="130"/>
      <c r="J92" s="130"/>
      <c r="K92" s="130"/>
    </row>
    <row r="93" spans="1:12">
      <c r="A93" s="26"/>
      <c r="B93" s="25"/>
      <c r="C93" s="25"/>
      <c r="D93" s="25"/>
      <c r="E93" s="25"/>
      <c r="F93" s="25"/>
      <c r="G93" s="25"/>
      <c r="H93" s="25"/>
      <c r="I93" s="25"/>
      <c r="J93" s="25"/>
      <c r="K93" s="25"/>
    </row>
    <row r="94" spans="1:12">
      <c r="A94" s="128" t="s">
        <v>0</v>
      </c>
      <c r="B94" s="100" t="s">
        <v>2</v>
      </c>
      <c r="C94" s="100" t="s">
        <v>3</v>
      </c>
      <c r="D94" s="100" t="s">
        <v>4</v>
      </c>
      <c r="E94" s="100" t="s">
        <v>5</v>
      </c>
      <c r="F94" s="100" t="s">
        <v>6</v>
      </c>
      <c r="G94" s="100" t="s">
        <v>169</v>
      </c>
      <c r="H94" s="100" t="s">
        <v>168</v>
      </c>
      <c r="I94" s="21"/>
      <c r="J94" s="21"/>
      <c r="K94" s="21"/>
    </row>
    <row r="95" spans="1:12">
      <c r="A95" s="60" t="s">
        <v>227</v>
      </c>
      <c r="B95" s="131">
        <f>'6.Cons Profit &amp; Loss'!B49</f>
        <v>2551637.6428597481</v>
      </c>
      <c r="C95" s="131">
        <f>'6.Cons Profit &amp; Loss'!C49</f>
        <v>3797653.1101038065</v>
      </c>
      <c r="D95" s="131">
        <f>'6.Cons Profit &amp; Loss'!D49</f>
        <v>4904517.4433222404</v>
      </c>
      <c r="E95" s="131">
        <f>'6.Cons Profit &amp; Loss'!E49</f>
        <v>6111723.9978025928</v>
      </c>
      <c r="F95" s="131">
        <f>'6.Cons Profit &amp; Loss'!F49</f>
        <v>7427377.4424381321</v>
      </c>
      <c r="G95" s="131">
        <f>'6.Cons Profit &amp; Loss'!G49</f>
        <v>9072140.7550258506</v>
      </c>
      <c r="H95" s="131">
        <f>'6.Cons Profit &amp; Loss'!H49</f>
        <v>10589822.123462401</v>
      </c>
      <c r="I95" s="28"/>
      <c r="J95" s="28"/>
      <c r="K95" s="28"/>
    </row>
    <row r="96" spans="1:12">
      <c r="A96" s="60" t="s">
        <v>228</v>
      </c>
      <c r="B96" s="131">
        <f>'6.Cons Profit &amp; Loss'!B42</f>
        <v>1174589.2039999999</v>
      </c>
      <c r="C96" s="131">
        <f>'6.Cons Profit &amp; Loss'!C42</f>
        <v>1174589.2039999999</v>
      </c>
      <c r="D96" s="131">
        <f>'6.Cons Profit &amp; Loss'!D42</f>
        <v>1174589.2039999999</v>
      </c>
      <c r="E96" s="131">
        <f>'6.Cons Profit &amp; Loss'!E42</f>
        <v>1174589.2039999999</v>
      </c>
      <c r="F96" s="131">
        <f>'6.Cons Profit &amp; Loss'!F42</f>
        <v>1174589.2039999999</v>
      </c>
      <c r="G96" s="131">
        <f>'6.Cons Profit &amp; Loss'!G42</f>
        <v>1174589.2039999999</v>
      </c>
      <c r="H96" s="131">
        <f>'6.Cons Profit &amp; Loss'!H42</f>
        <v>1174589.2039999999</v>
      </c>
      <c r="I96" s="28"/>
      <c r="J96" s="28"/>
      <c r="K96" s="28"/>
    </row>
    <row r="97" spans="1:11">
      <c r="A97" s="60" t="s">
        <v>229</v>
      </c>
      <c r="B97" s="131">
        <f>'3.Other Exp &amp; Taxes'!K66</f>
        <v>3093712</v>
      </c>
      <c r="C97" s="131">
        <f>'3.Other Exp &amp; Taxes'!L66</f>
        <v>2692015.8</v>
      </c>
      <c r="D97" s="131">
        <f>'3.Other Exp &amp; Taxes'!M66</f>
        <v>2344337.9699999997</v>
      </c>
      <c r="E97" s="131">
        <f>'3.Other Exp &amp; Taxes'!N66</f>
        <v>2043199.3605</v>
      </c>
      <c r="F97" s="131">
        <f>'3.Other Exp &amp; Taxes'!O66</f>
        <v>1782180.3338249996</v>
      </c>
      <c r="G97" s="131">
        <f>'3.Other Exp &amp; Taxes'!P66</f>
        <v>1555768.0734112498</v>
      </c>
      <c r="H97" s="131">
        <f>'3.Other Exp &amp; Taxes'!Q66</f>
        <v>1359226.1730935622</v>
      </c>
      <c r="I97" s="28"/>
      <c r="J97" s="28"/>
      <c r="K97" s="28"/>
    </row>
    <row r="98" spans="1:11">
      <c r="A98" s="60" t="s">
        <v>290</v>
      </c>
      <c r="B98" s="131">
        <f t="shared" ref="B98:H98" si="51">B95+B96-B97</f>
        <v>632514.84685974801</v>
      </c>
      <c r="C98" s="131">
        <f t="shared" si="51"/>
        <v>2280226.5141038066</v>
      </c>
      <c r="D98" s="131">
        <f t="shared" si="51"/>
        <v>3734768.6773222405</v>
      </c>
      <c r="E98" s="131">
        <f t="shared" si="51"/>
        <v>5243113.8413025923</v>
      </c>
      <c r="F98" s="131">
        <f t="shared" si="51"/>
        <v>6819786.3126131333</v>
      </c>
      <c r="G98" s="131">
        <f t="shared" si="51"/>
        <v>8690961.8856146</v>
      </c>
      <c r="H98" s="131">
        <f t="shared" si="51"/>
        <v>10405185.154368838</v>
      </c>
      <c r="I98" s="28"/>
      <c r="J98" s="28"/>
      <c r="K98" s="28"/>
    </row>
    <row r="99" spans="1:11">
      <c r="A99" s="63" t="s">
        <v>230</v>
      </c>
      <c r="B99" s="132">
        <f t="shared" ref="B99:H99" si="52">B98*$B$102</f>
        <v>164453.86018353447</v>
      </c>
      <c r="C99" s="132">
        <f t="shared" si="52"/>
        <v>592858.89366698975</v>
      </c>
      <c r="D99" s="132">
        <f t="shared" si="52"/>
        <v>971039.85610378254</v>
      </c>
      <c r="E99" s="132">
        <f t="shared" si="52"/>
        <v>1363209.5987386741</v>
      </c>
      <c r="F99" s="132">
        <f t="shared" si="52"/>
        <v>1773144.4412794148</v>
      </c>
      <c r="G99" s="132">
        <f t="shared" si="52"/>
        <v>2259650.090259796</v>
      </c>
      <c r="H99" s="132">
        <f t="shared" si="52"/>
        <v>2705348.1401358983</v>
      </c>
      <c r="I99" s="28"/>
      <c r="J99" s="28"/>
      <c r="K99" s="28"/>
    </row>
    <row r="100" spans="1:11">
      <c r="A100" s="27"/>
      <c r="B100" s="25"/>
      <c r="C100" s="25"/>
      <c r="D100" s="25"/>
      <c r="E100" s="25"/>
      <c r="F100" s="25"/>
      <c r="G100" s="25"/>
      <c r="H100" s="25"/>
      <c r="I100" s="25"/>
      <c r="J100" s="25"/>
      <c r="K100" s="25"/>
    </row>
    <row r="101" spans="1:11">
      <c r="A101" s="27"/>
      <c r="B101" s="29"/>
      <c r="C101" s="29"/>
      <c r="D101" s="29"/>
      <c r="E101" s="29"/>
      <c r="F101" s="29"/>
      <c r="G101" s="29"/>
      <c r="H101" s="29"/>
      <c r="I101" s="29"/>
      <c r="J101" s="29"/>
      <c r="K101" s="29"/>
    </row>
    <row r="102" spans="1:11">
      <c r="A102" s="30" t="s">
        <v>399</v>
      </c>
      <c r="B102" s="251">
        <v>0.26</v>
      </c>
      <c r="C102" s="29"/>
      <c r="D102" s="29"/>
      <c r="E102" s="29"/>
      <c r="F102" s="29"/>
      <c r="G102" s="29"/>
      <c r="H102" s="29"/>
      <c r="I102" s="29"/>
      <c r="J102" s="29"/>
      <c r="K102" s="29"/>
    </row>
    <row r="103" spans="1:11">
      <c r="A103" s="25"/>
      <c r="B103" s="25"/>
      <c r="C103" s="25"/>
      <c r="D103" s="25"/>
      <c r="E103" s="25"/>
      <c r="F103" s="25"/>
      <c r="G103" s="25"/>
      <c r="H103" s="25"/>
      <c r="I103" s="25"/>
      <c r="J103" s="25"/>
      <c r="K103" s="25"/>
    </row>
    <row r="104" spans="1:11" ht="29.1" customHeight="1">
      <c r="A104" s="375" t="s">
        <v>431</v>
      </c>
      <c r="B104" s="375"/>
      <c r="C104" s="375"/>
      <c r="D104" s="375"/>
      <c r="E104" s="375"/>
      <c r="F104" s="375"/>
      <c r="G104" s="375"/>
      <c r="H104" s="375"/>
      <c r="I104" s="23"/>
      <c r="J104" s="23"/>
      <c r="K104" s="23"/>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4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topLeftCell="D66" zoomScale="130" zoomScaleSheetLayoutView="130" workbookViewId="0">
      <selection activeCell="A9" sqref="A9:G69"/>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62" t="s">
        <v>566</v>
      </c>
      <c r="B2" s="362"/>
      <c r="C2" s="362"/>
      <c r="D2" s="362"/>
      <c r="E2" s="362"/>
      <c r="F2" s="362"/>
      <c r="G2" s="379"/>
    </row>
    <row r="3" spans="1:7">
      <c r="B3" s="13"/>
      <c r="C3" s="13"/>
      <c r="D3" s="13"/>
      <c r="E3" s="13"/>
      <c r="F3" s="13"/>
      <c r="G3" s="13"/>
    </row>
    <row r="4" spans="1:7">
      <c r="A4" s="76"/>
      <c r="B4" s="76"/>
      <c r="C4" s="76" t="s">
        <v>471</v>
      </c>
      <c r="D4" s="92">
        <f>'1.Project Cost and MOF'!E20</f>
        <v>4956424</v>
      </c>
      <c r="E4" s="76"/>
      <c r="F4" s="76"/>
      <c r="G4" s="76"/>
    </row>
    <row r="5" spans="1:7">
      <c r="A5" s="76"/>
      <c r="B5" s="76"/>
      <c r="C5" s="76" t="s">
        <v>472</v>
      </c>
      <c r="D5" s="246">
        <v>0.125</v>
      </c>
      <c r="E5" s="76"/>
      <c r="F5" s="76"/>
      <c r="G5" s="76"/>
    </row>
    <row r="6" spans="1:7">
      <c r="A6" s="76"/>
      <c r="B6" s="76"/>
      <c r="C6" s="76" t="s">
        <v>473</v>
      </c>
      <c r="D6" s="247">
        <v>5</v>
      </c>
      <c r="E6" s="76"/>
      <c r="F6" s="76"/>
      <c r="G6" s="76"/>
    </row>
    <row r="7" spans="1:7">
      <c r="A7" s="76"/>
      <c r="B7" s="76"/>
      <c r="C7" s="76" t="s">
        <v>474</v>
      </c>
      <c r="D7" s="247">
        <v>6</v>
      </c>
      <c r="E7" s="76"/>
      <c r="F7" s="76"/>
      <c r="G7" s="76"/>
    </row>
    <row r="8" spans="1:7">
      <c r="A8" s="76"/>
      <c r="B8" s="76"/>
      <c r="C8" s="76" t="s">
        <v>22</v>
      </c>
      <c r="D8" s="180">
        <f>PMT(D5/12,(D6-(D7/12))*12,-D4)</f>
        <v>120472.70096102056</v>
      </c>
      <c r="E8" s="180"/>
      <c r="F8" s="236"/>
      <c r="G8" s="76"/>
    </row>
    <row r="9" spans="1:7">
      <c r="A9" s="128" t="s">
        <v>291</v>
      </c>
      <c r="B9" s="181" t="s">
        <v>18</v>
      </c>
      <c r="C9" s="182" t="s">
        <v>19</v>
      </c>
      <c r="D9" s="182" t="s">
        <v>20</v>
      </c>
      <c r="E9" s="182" t="s">
        <v>21</v>
      </c>
      <c r="F9" s="182" t="s">
        <v>22</v>
      </c>
      <c r="G9" s="182" t="s">
        <v>23</v>
      </c>
    </row>
    <row r="10" spans="1:7">
      <c r="A10" s="77" t="s">
        <v>11</v>
      </c>
      <c r="B10" s="77" t="s">
        <v>52</v>
      </c>
      <c r="C10" s="78">
        <f>D4</f>
        <v>4956424</v>
      </c>
      <c r="D10" s="78">
        <f t="shared" ref="D10:D41" si="0">C10*$D$5/12</f>
        <v>51629.416666666664</v>
      </c>
      <c r="E10" s="78">
        <f t="shared" ref="E10:E15" si="1">F10-D10</f>
        <v>0</v>
      </c>
      <c r="F10" s="78">
        <f>D10</f>
        <v>51629.416666666664</v>
      </c>
      <c r="G10" s="78">
        <f>C10-E10</f>
        <v>4956424</v>
      </c>
    </row>
    <row r="11" spans="1:7">
      <c r="A11" s="77"/>
      <c r="B11" s="77" t="s">
        <v>53</v>
      </c>
      <c r="C11" s="78">
        <f>G10</f>
        <v>4956424</v>
      </c>
      <c r="D11" s="78">
        <f t="shared" si="0"/>
        <v>51629.416666666664</v>
      </c>
      <c r="E11" s="78">
        <f t="shared" si="1"/>
        <v>0</v>
      </c>
      <c r="F11" s="78">
        <f t="shared" ref="F11:F15" si="2">D11</f>
        <v>51629.416666666664</v>
      </c>
      <c r="G11" s="78">
        <f t="shared" ref="G11:G74" si="3">C11-E11</f>
        <v>4956424</v>
      </c>
    </row>
    <row r="12" spans="1:7">
      <c r="A12" s="77"/>
      <c r="B12" s="77" t="s">
        <v>54</v>
      </c>
      <c r="C12" s="78">
        <f t="shared" ref="C12:C75" si="4">G11</f>
        <v>4956424</v>
      </c>
      <c r="D12" s="78">
        <f t="shared" si="0"/>
        <v>51629.416666666664</v>
      </c>
      <c r="E12" s="78">
        <f t="shared" si="1"/>
        <v>0</v>
      </c>
      <c r="F12" s="78">
        <f t="shared" si="2"/>
        <v>51629.416666666664</v>
      </c>
      <c r="G12" s="78">
        <f t="shared" si="3"/>
        <v>4956424</v>
      </c>
    </row>
    <row r="13" spans="1:7">
      <c r="A13" s="77"/>
      <c r="B13" s="77" t="s">
        <v>55</v>
      </c>
      <c r="C13" s="78">
        <f t="shared" si="4"/>
        <v>4956424</v>
      </c>
      <c r="D13" s="78">
        <f t="shared" si="0"/>
        <v>51629.416666666664</v>
      </c>
      <c r="E13" s="78">
        <f t="shared" si="1"/>
        <v>0</v>
      </c>
      <c r="F13" s="78">
        <f t="shared" si="2"/>
        <v>51629.416666666664</v>
      </c>
      <c r="G13" s="78">
        <f t="shared" si="3"/>
        <v>4956424</v>
      </c>
    </row>
    <row r="14" spans="1:7">
      <c r="A14" s="77"/>
      <c r="B14" s="77" t="s">
        <v>56</v>
      </c>
      <c r="C14" s="78">
        <f t="shared" si="4"/>
        <v>4956424</v>
      </c>
      <c r="D14" s="78">
        <f t="shared" si="0"/>
        <v>51629.416666666664</v>
      </c>
      <c r="E14" s="78">
        <f t="shared" si="1"/>
        <v>0</v>
      </c>
      <c r="F14" s="78">
        <f t="shared" si="2"/>
        <v>51629.416666666664</v>
      </c>
      <c r="G14" s="78">
        <f t="shared" si="3"/>
        <v>4956424</v>
      </c>
    </row>
    <row r="15" spans="1:7">
      <c r="A15" s="77"/>
      <c r="B15" s="77" t="s">
        <v>57</v>
      </c>
      <c r="C15" s="78">
        <f t="shared" si="4"/>
        <v>4956424</v>
      </c>
      <c r="D15" s="78">
        <f t="shared" si="0"/>
        <v>51629.416666666664</v>
      </c>
      <c r="E15" s="78">
        <f t="shared" si="1"/>
        <v>0</v>
      </c>
      <c r="F15" s="78">
        <f t="shared" si="2"/>
        <v>51629.416666666664</v>
      </c>
      <c r="G15" s="78">
        <f t="shared" si="3"/>
        <v>4956424</v>
      </c>
    </row>
    <row r="16" spans="1:7">
      <c r="A16" s="77"/>
      <c r="B16" s="77" t="s">
        <v>58</v>
      </c>
      <c r="C16" s="78">
        <f t="shared" si="4"/>
        <v>4956424</v>
      </c>
      <c r="D16" s="78">
        <f t="shared" si="0"/>
        <v>51629.416666666664</v>
      </c>
      <c r="E16" s="78">
        <f>F16-D16</f>
        <v>68843.284294353885</v>
      </c>
      <c r="F16" s="78">
        <f t="shared" ref="F16:F74" si="5">$D$8</f>
        <v>120472.70096102056</v>
      </c>
      <c r="G16" s="78">
        <f t="shared" si="3"/>
        <v>4887580.7157056462</v>
      </c>
    </row>
    <row r="17" spans="1:9">
      <c r="A17" s="77"/>
      <c r="B17" s="77" t="s">
        <v>59</v>
      </c>
      <c r="C17" s="78">
        <f t="shared" si="4"/>
        <v>4887580.7157056462</v>
      </c>
      <c r="D17" s="78">
        <f t="shared" si="0"/>
        <v>50912.299121933815</v>
      </c>
      <c r="E17" s="78">
        <f t="shared" ref="E17:E80" si="6">F17-D17</f>
        <v>69560.401839086742</v>
      </c>
      <c r="F17" s="78">
        <f t="shared" si="5"/>
        <v>120472.70096102056</v>
      </c>
      <c r="G17" s="78">
        <f t="shared" si="3"/>
        <v>4818020.3138665594</v>
      </c>
    </row>
    <row r="18" spans="1:9">
      <c r="A18" s="77"/>
      <c r="B18" s="77" t="s">
        <v>60</v>
      </c>
      <c r="C18" s="78">
        <f t="shared" si="4"/>
        <v>4818020.3138665594</v>
      </c>
      <c r="D18" s="78">
        <f t="shared" si="0"/>
        <v>50187.711602776661</v>
      </c>
      <c r="E18" s="78">
        <f t="shared" si="6"/>
        <v>70284.989358243896</v>
      </c>
      <c r="F18" s="78">
        <f t="shared" si="5"/>
        <v>120472.70096102056</v>
      </c>
      <c r="G18" s="78">
        <f t="shared" si="3"/>
        <v>4747735.3245083159</v>
      </c>
    </row>
    <row r="19" spans="1:9">
      <c r="A19" s="77"/>
      <c r="B19" s="77" t="s">
        <v>61</v>
      </c>
      <c r="C19" s="78">
        <f t="shared" si="4"/>
        <v>4747735.3245083159</v>
      </c>
      <c r="D19" s="78">
        <f t="shared" si="0"/>
        <v>49455.576296961626</v>
      </c>
      <c r="E19" s="78">
        <f t="shared" si="6"/>
        <v>71017.124664058938</v>
      </c>
      <c r="F19" s="78">
        <f t="shared" si="5"/>
        <v>120472.70096102056</v>
      </c>
      <c r="G19" s="78">
        <f t="shared" si="3"/>
        <v>4676718.199844257</v>
      </c>
    </row>
    <row r="20" spans="1:9">
      <c r="A20" s="77"/>
      <c r="B20" s="77" t="s">
        <v>62</v>
      </c>
      <c r="C20" s="78">
        <f t="shared" si="4"/>
        <v>4676718.199844257</v>
      </c>
      <c r="D20" s="78">
        <f t="shared" si="0"/>
        <v>48715.814581711013</v>
      </c>
      <c r="E20" s="78">
        <f t="shared" si="6"/>
        <v>71756.886379309552</v>
      </c>
      <c r="F20" s="78">
        <f t="shared" si="5"/>
        <v>120472.70096102056</v>
      </c>
      <c r="G20" s="78">
        <f t="shared" si="3"/>
        <v>4604961.313464947</v>
      </c>
    </row>
    <row r="21" spans="1:9">
      <c r="A21" s="77"/>
      <c r="B21" s="77" t="s">
        <v>63</v>
      </c>
      <c r="C21" s="78">
        <f t="shared" si="4"/>
        <v>4604961.313464947</v>
      </c>
      <c r="D21" s="78">
        <f t="shared" si="0"/>
        <v>47968.347015259867</v>
      </c>
      <c r="E21" s="78">
        <f t="shared" si="6"/>
        <v>72504.353945760697</v>
      </c>
      <c r="F21" s="78">
        <f t="shared" si="5"/>
        <v>120472.70096102056</v>
      </c>
      <c r="G21" s="78">
        <f t="shared" si="3"/>
        <v>4532456.9595191861</v>
      </c>
      <c r="H21" s="1"/>
      <c r="I21" s="1"/>
    </row>
    <row r="22" spans="1:9">
      <c r="A22" s="77" t="s">
        <v>12</v>
      </c>
      <c r="B22" s="77" t="s">
        <v>64</v>
      </c>
      <c r="C22" s="78">
        <f t="shared" si="4"/>
        <v>4532456.9595191861</v>
      </c>
      <c r="D22" s="78">
        <f t="shared" si="0"/>
        <v>47213.093328324852</v>
      </c>
      <c r="E22" s="78">
        <f t="shared" si="6"/>
        <v>73259.607632695697</v>
      </c>
      <c r="F22" s="78">
        <f t="shared" si="5"/>
        <v>120472.70096102056</v>
      </c>
      <c r="G22" s="78">
        <f t="shared" si="3"/>
        <v>4459197.3518864904</v>
      </c>
    </row>
    <row r="23" spans="1:9">
      <c r="A23" s="77"/>
      <c r="B23" s="77" t="s">
        <v>65</v>
      </c>
      <c r="C23" s="78">
        <f t="shared" si="4"/>
        <v>4459197.3518864904</v>
      </c>
      <c r="D23" s="78">
        <f t="shared" si="0"/>
        <v>46449.972415484277</v>
      </c>
      <c r="E23" s="78">
        <f t="shared" si="6"/>
        <v>74022.728545536287</v>
      </c>
      <c r="F23" s="78">
        <f t="shared" si="5"/>
        <v>120472.70096102056</v>
      </c>
      <c r="G23" s="78">
        <f t="shared" si="3"/>
        <v>4385174.6233409541</v>
      </c>
    </row>
    <row r="24" spans="1:9">
      <c r="A24" s="77"/>
      <c r="B24" s="77" t="s">
        <v>66</v>
      </c>
      <c r="C24" s="78">
        <f t="shared" si="4"/>
        <v>4385174.6233409541</v>
      </c>
      <c r="D24" s="78">
        <f t="shared" si="0"/>
        <v>45678.902326468269</v>
      </c>
      <c r="E24" s="78">
        <f t="shared" si="6"/>
        <v>74793.79863455228</v>
      </c>
      <c r="F24" s="78">
        <f t="shared" si="5"/>
        <v>120472.70096102056</v>
      </c>
      <c r="G24" s="78">
        <f t="shared" si="3"/>
        <v>4310380.8247064017</v>
      </c>
    </row>
    <row r="25" spans="1:9">
      <c r="A25" s="77"/>
      <c r="B25" s="77" t="s">
        <v>67</v>
      </c>
      <c r="C25" s="78">
        <f t="shared" si="4"/>
        <v>4310380.8247064017</v>
      </c>
      <c r="D25" s="78">
        <f t="shared" si="0"/>
        <v>44899.800257358351</v>
      </c>
      <c r="E25" s="78">
        <f t="shared" si="6"/>
        <v>75572.900703662206</v>
      </c>
      <c r="F25" s="78">
        <f t="shared" si="5"/>
        <v>120472.70096102056</v>
      </c>
      <c r="G25" s="78">
        <f t="shared" si="3"/>
        <v>4234807.9240027396</v>
      </c>
    </row>
    <row r="26" spans="1:9">
      <c r="A26" s="77"/>
      <c r="B26" s="77" t="s">
        <v>68</v>
      </c>
      <c r="C26" s="78">
        <f t="shared" si="4"/>
        <v>4234807.9240027396</v>
      </c>
      <c r="D26" s="78">
        <f t="shared" si="0"/>
        <v>44112.582541695207</v>
      </c>
      <c r="E26" s="78">
        <f t="shared" si="6"/>
        <v>76360.118419325358</v>
      </c>
      <c r="F26" s="78">
        <f t="shared" si="5"/>
        <v>120472.70096102056</v>
      </c>
      <c r="G26" s="78">
        <f t="shared" si="3"/>
        <v>4158447.8055834142</v>
      </c>
    </row>
    <row r="27" spans="1:9">
      <c r="A27" s="77"/>
      <c r="B27" s="77" t="s">
        <v>69</v>
      </c>
      <c r="C27" s="78">
        <f t="shared" si="4"/>
        <v>4158447.8055834142</v>
      </c>
      <c r="D27" s="78">
        <f t="shared" si="0"/>
        <v>43317.164641493895</v>
      </c>
      <c r="E27" s="78">
        <f t="shared" si="6"/>
        <v>77155.536319526669</v>
      </c>
      <c r="F27" s="78">
        <f t="shared" si="5"/>
        <v>120472.70096102056</v>
      </c>
      <c r="G27" s="78">
        <f t="shared" si="3"/>
        <v>4081292.2692638873</v>
      </c>
    </row>
    <row r="28" spans="1:9">
      <c r="A28" s="77"/>
      <c r="B28" s="77" t="s">
        <v>70</v>
      </c>
      <c r="C28" s="78">
        <f t="shared" si="4"/>
        <v>4081292.2692638873</v>
      </c>
      <c r="D28" s="78">
        <f t="shared" si="0"/>
        <v>42513.46113816549</v>
      </c>
      <c r="E28" s="78">
        <f t="shared" si="6"/>
        <v>77959.239822855074</v>
      </c>
      <c r="F28" s="78">
        <f t="shared" si="5"/>
        <v>120472.70096102056</v>
      </c>
      <c r="G28" s="78">
        <f t="shared" si="3"/>
        <v>4003333.0294410321</v>
      </c>
    </row>
    <row r="29" spans="1:9">
      <c r="A29" s="77"/>
      <c r="B29" s="77" t="s">
        <v>71</v>
      </c>
      <c r="C29" s="78">
        <f t="shared" si="4"/>
        <v>4003333.0294410321</v>
      </c>
      <c r="D29" s="78">
        <f t="shared" si="0"/>
        <v>41701.385723344087</v>
      </c>
      <c r="E29" s="78">
        <f t="shared" si="6"/>
        <v>78771.315237676463</v>
      </c>
      <c r="F29" s="78">
        <f t="shared" si="5"/>
        <v>120472.70096102056</v>
      </c>
      <c r="G29" s="78">
        <f t="shared" si="3"/>
        <v>3924561.7142033558</v>
      </c>
    </row>
    <row r="30" spans="1:9">
      <c r="A30" s="77"/>
      <c r="B30" s="77" t="s">
        <v>72</v>
      </c>
      <c r="C30" s="78">
        <f t="shared" si="4"/>
        <v>3924561.7142033558</v>
      </c>
      <c r="D30" s="78">
        <f t="shared" si="0"/>
        <v>40880.85118961829</v>
      </c>
      <c r="E30" s="78">
        <f t="shared" si="6"/>
        <v>79591.849771402267</v>
      </c>
      <c r="F30" s="78">
        <f t="shared" si="5"/>
        <v>120472.70096102056</v>
      </c>
      <c r="G30" s="78">
        <f t="shared" si="3"/>
        <v>3844969.8644319535</v>
      </c>
    </row>
    <row r="31" spans="1:9">
      <c r="A31" s="77"/>
      <c r="B31" s="77" t="s">
        <v>73</v>
      </c>
      <c r="C31" s="78">
        <f t="shared" si="4"/>
        <v>3844969.8644319535</v>
      </c>
      <c r="D31" s="78">
        <f t="shared" si="0"/>
        <v>40051.76942116618</v>
      </c>
      <c r="E31" s="78">
        <f t="shared" si="6"/>
        <v>80420.931539854384</v>
      </c>
      <c r="F31" s="78">
        <f t="shared" si="5"/>
        <v>120472.70096102056</v>
      </c>
      <c r="G31" s="78">
        <f t="shared" si="3"/>
        <v>3764548.932892099</v>
      </c>
    </row>
    <row r="32" spans="1:9">
      <c r="A32" s="77"/>
      <c r="B32" s="77" t="s">
        <v>74</v>
      </c>
      <c r="C32" s="78">
        <f t="shared" si="4"/>
        <v>3764548.932892099</v>
      </c>
      <c r="D32" s="78">
        <f t="shared" si="0"/>
        <v>39214.051384292696</v>
      </c>
      <c r="E32" s="78">
        <f t="shared" si="6"/>
        <v>81258.649576727854</v>
      </c>
      <c r="F32" s="78">
        <f t="shared" si="5"/>
        <v>120472.70096102056</v>
      </c>
      <c r="G32" s="78">
        <f t="shared" si="3"/>
        <v>3683290.2833153713</v>
      </c>
    </row>
    <row r="33" spans="1:9">
      <c r="A33" s="77"/>
      <c r="B33" s="77" t="s">
        <v>75</v>
      </c>
      <c r="C33" s="78">
        <f t="shared" si="4"/>
        <v>3683290.2833153713</v>
      </c>
      <c r="D33" s="78">
        <f t="shared" si="0"/>
        <v>38367.607117868451</v>
      </c>
      <c r="E33" s="78">
        <f t="shared" si="6"/>
        <v>82105.093843152106</v>
      </c>
      <c r="F33" s="78">
        <f t="shared" si="5"/>
        <v>120472.70096102056</v>
      </c>
      <c r="G33" s="78">
        <f t="shared" si="3"/>
        <v>3601185.189472219</v>
      </c>
      <c r="H33" s="1"/>
      <c r="I33" s="1"/>
    </row>
    <row r="34" spans="1:9">
      <c r="A34" s="77" t="s">
        <v>13</v>
      </c>
      <c r="B34" s="77" t="s">
        <v>76</v>
      </c>
      <c r="C34" s="78">
        <f t="shared" si="4"/>
        <v>3601185.189472219</v>
      </c>
      <c r="D34" s="78">
        <f t="shared" si="0"/>
        <v>37512.34572366895</v>
      </c>
      <c r="E34" s="78">
        <f t="shared" si="6"/>
        <v>82960.355237351614</v>
      </c>
      <c r="F34" s="78">
        <f t="shared" si="5"/>
        <v>120472.70096102056</v>
      </c>
      <c r="G34" s="78">
        <f t="shared" si="3"/>
        <v>3518224.8342348672</v>
      </c>
    </row>
    <row r="35" spans="1:9">
      <c r="A35" s="77"/>
      <c r="B35" s="77" t="s">
        <v>77</v>
      </c>
      <c r="C35" s="78">
        <f t="shared" si="4"/>
        <v>3518224.8342348672</v>
      </c>
      <c r="D35" s="78">
        <f t="shared" si="0"/>
        <v>36648.175356613203</v>
      </c>
      <c r="E35" s="78">
        <f t="shared" si="6"/>
        <v>83824.525604407361</v>
      </c>
      <c r="F35" s="78">
        <f t="shared" si="5"/>
        <v>120472.70096102056</v>
      </c>
      <c r="G35" s="78">
        <f t="shared" si="3"/>
        <v>3434400.3086304599</v>
      </c>
    </row>
    <row r="36" spans="1:9">
      <c r="A36" s="77"/>
      <c r="B36" s="77" t="s">
        <v>78</v>
      </c>
      <c r="C36" s="78">
        <f t="shared" si="4"/>
        <v>3434400.3086304599</v>
      </c>
      <c r="D36" s="78">
        <f t="shared" si="0"/>
        <v>35775.003214900622</v>
      </c>
      <c r="E36" s="78">
        <f t="shared" si="6"/>
        <v>84697.697746119928</v>
      </c>
      <c r="F36" s="78">
        <f t="shared" si="5"/>
        <v>120472.70096102056</v>
      </c>
      <c r="G36" s="78">
        <f t="shared" si="3"/>
        <v>3349702.61088434</v>
      </c>
    </row>
    <row r="37" spans="1:9">
      <c r="A37" s="77"/>
      <c r="B37" s="77" t="s">
        <v>79</v>
      </c>
      <c r="C37" s="78">
        <f t="shared" si="4"/>
        <v>3349702.61088434</v>
      </c>
      <c r="D37" s="78">
        <f t="shared" si="0"/>
        <v>34892.735530045211</v>
      </c>
      <c r="E37" s="78">
        <f t="shared" si="6"/>
        <v>85579.965430975339</v>
      </c>
      <c r="F37" s="78">
        <f t="shared" si="5"/>
        <v>120472.70096102056</v>
      </c>
      <c r="G37" s="78">
        <f t="shared" si="3"/>
        <v>3264122.6454533646</v>
      </c>
    </row>
    <row r="38" spans="1:9">
      <c r="A38" s="77"/>
      <c r="B38" s="77" t="s">
        <v>80</v>
      </c>
      <c r="C38" s="78">
        <f t="shared" si="4"/>
        <v>3264122.6454533646</v>
      </c>
      <c r="D38" s="78">
        <f t="shared" si="0"/>
        <v>34001.277556805879</v>
      </c>
      <c r="E38" s="78">
        <f t="shared" si="6"/>
        <v>86471.423404214671</v>
      </c>
      <c r="F38" s="78">
        <f t="shared" si="5"/>
        <v>120472.70096102056</v>
      </c>
      <c r="G38" s="78">
        <f t="shared" si="3"/>
        <v>3177651.2220491497</v>
      </c>
    </row>
    <row r="39" spans="1:9">
      <c r="A39" s="77"/>
      <c r="B39" s="77" t="s">
        <v>81</v>
      </c>
      <c r="C39" s="78">
        <f t="shared" si="4"/>
        <v>3177651.2220491497</v>
      </c>
      <c r="D39" s="78">
        <f t="shared" si="0"/>
        <v>33100.533563011973</v>
      </c>
      <c r="E39" s="78">
        <f t="shared" si="6"/>
        <v>87372.167398008576</v>
      </c>
      <c r="F39" s="78">
        <f t="shared" si="5"/>
        <v>120472.70096102056</v>
      </c>
      <c r="G39" s="78">
        <f t="shared" si="3"/>
        <v>3090279.0546511412</v>
      </c>
    </row>
    <row r="40" spans="1:9">
      <c r="A40" s="77"/>
      <c r="B40" s="77" t="s">
        <v>82</v>
      </c>
      <c r="C40" s="78">
        <f t="shared" si="4"/>
        <v>3090279.0546511412</v>
      </c>
      <c r="D40" s="78">
        <f t="shared" si="0"/>
        <v>32190.406819282722</v>
      </c>
      <c r="E40" s="78">
        <f t="shared" si="6"/>
        <v>88282.294141737832</v>
      </c>
      <c r="F40" s="78">
        <f t="shared" si="5"/>
        <v>120472.70096102056</v>
      </c>
      <c r="G40" s="78">
        <f t="shared" si="3"/>
        <v>3001996.7605094034</v>
      </c>
    </row>
    <row r="41" spans="1:9">
      <c r="A41" s="77"/>
      <c r="B41" s="77" t="s">
        <v>83</v>
      </c>
      <c r="C41" s="78">
        <f t="shared" si="4"/>
        <v>3001996.7605094034</v>
      </c>
      <c r="D41" s="78">
        <f t="shared" si="0"/>
        <v>31270.79958863962</v>
      </c>
      <c r="E41" s="78">
        <f t="shared" si="6"/>
        <v>89201.901372380933</v>
      </c>
      <c r="F41" s="78">
        <f t="shared" si="5"/>
        <v>120472.70096102056</v>
      </c>
      <c r="G41" s="78">
        <f t="shared" si="3"/>
        <v>2912794.8591370224</v>
      </c>
    </row>
    <row r="42" spans="1:9">
      <c r="A42" s="77"/>
      <c r="B42" s="77" t="s">
        <v>84</v>
      </c>
      <c r="C42" s="78">
        <f t="shared" si="4"/>
        <v>2912794.8591370224</v>
      </c>
      <c r="D42" s="78">
        <f t="shared" ref="D42:D73" si="7">C42*$D$5/12</f>
        <v>30341.613116010649</v>
      </c>
      <c r="E42" s="78">
        <f t="shared" si="6"/>
        <v>90131.087845009912</v>
      </c>
      <c r="F42" s="78">
        <f t="shared" si="5"/>
        <v>120472.70096102056</v>
      </c>
      <c r="G42" s="78">
        <f t="shared" si="3"/>
        <v>2822663.7712920127</v>
      </c>
    </row>
    <row r="43" spans="1:9">
      <c r="A43" s="77"/>
      <c r="B43" s="77" t="s">
        <v>85</v>
      </c>
      <c r="C43" s="78">
        <f t="shared" si="4"/>
        <v>2822663.7712920127</v>
      </c>
      <c r="D43" s="78">
        <f t="shared" si="7"/>
        <v>29402.747617625133</v>
      </c>
      <c r="E43" s="78">
        <f t="shared" si="6"/>
        <v>91069.95334339542</v>
      </c>
      <c r="F43" s="78">
        <f t="shared" si="5"/>
        <v>120472.70096102056</v>
      </c>
      <c r="G43" s="78">
        <f t="shared" si="3"/>
        <v>2731593.817948617</v>
      </c>
    </row>
    <row r="44" spans="1:9">
      <c r="A44" s="77"/>
      <c r="B44" s="77" t="s">
        <v>86</v>
      </c>
      <c r="C44" s="78">
        <f t="shared" si="4"/>
        <v>2731593.817948617</v>
      </c>
      <c r="D44" s="78">
        <f t="shared" si="7"/>
        <v>28454.102270298095</v>
      </c>
      <c r="E44" s="78">
        <f t="shared" si="6"/>
        <v>92018.598690722458</v>
      </c>
      <c r="F44" s="78">
        <f t="shared" si="5"/>
        <v>120472.70096102056</v>
      </c>
      <c r="G44" s="78">
        <f t="shared" si="3"/>
        <v>2639575.2192578944</v>
      </c>
    </row>
    <row r="45" spans="1:9">
      <c r="A45" s="77"/>
      <c r="B45" s="77" t="s">
        <v>87</v>
      </c>
      <c r="C45" s="78">
        <f t="shared" si="4"/>
        <v>2639575.2192578944</v>
      </c>
      <c r="D45" s="78">
        <f t="shared" si="7"/>
        <v>27495.575200603067</v>
      </c>
      <c r="E45" s="78">
        <f t="shared" si="6"/>
        <v>92977.12576041749</v>
      </c>
      <c r="F45" s="78">
        <f t="shared" si="5"/>
        <v>120472.70096102056</v>
      </c>
      <c r="G45" s="78">
        <f t="shared" si="3"/>
        <v>2546598.093497477</v>
      </c>
      <c r="H45" s="1"/>
      <c r="I45" s="1"/>
    </row>
    <row r="46" spans="1:9">
      <c r="A46" s="77" t="s">
        <v>14</v>
      </c>
      <c r="B46" s="77" t="s">
        <v>88</v>
      </c>
      <c r="C46" s="78">
        <f t="shared" si="4"/>
        <v>2546598.093497477</v>
      </c>
      <c r="D46" s="78">
        <f t="shared" si="7"/>
        <v>26527.063473932052</v>
      </c>
      <c r="E46" s="78">
        <f t="shared" si="6"/>
        <v>93945.637487088505</v>
      </c>
      <c r="F46" s="78">
        <f t="shared" si="5"/>
        <v>120472.70096102056</v>
      </c>
      <c r="G46" s="78">
        <f t="shared" si="3"/>
        <v>2452652.4560103887</v>
      </c>
    </row>
    <row r="47" spans="1:9">
      <c r="A47" s="77"/>
      <c r="B47" s="77" t="s">
        <v>89</v>
      </c>
      <c r="C47" s="78">
        <f t="shared" si="4"/>
        <v>2452652.4560103887</v>
      </c>
      <c r="D47" s="78">
        <f t="shared" si="7"/>
        <v>25548.463083441547</v>
      </c>
      <c r="E47" s="78">
        <f t="shared" si="6"/>
        <v>94924.237877579013</v>
      </c>
      <c r="F47" s="78">
        <f t="shared" si="5"/>
        <v>120472.70096102056</v>
      </c>
      <c r="G47" s="78">
        <f t="shared" si="3"/>
        <v>2357728.2181328097</v>
      </c>
    </row>
    <row r="48" spans="1:9">
      <c r="A48" s="77"/>
      <c r="B48" s="77" t="s">
        <v>90</v>
      </c>
      <c r="C48" s="78">
        <f t="shared" si="4"/>
        <v>2357728.2181328097</v>
      </c>
      <c r="D48" s="78">
        <f t="shared" si="7"/>
        <v>24559.668938883435</v>
      </c>
      <c r="E48" s="78">
        <f t="shared" si="6"/>
        <v>95913.032022137122</v>
      </c>
      <c r="F48" s="78">
        <f t="shared" si="5"/>
        <v>120472.70096102056</v>
      </c>
      <c r="G48" s="78">
        <f t="shared" si="3"/>
        <v>2261815.1861106725</v>
      </c>
    </row>
    <row r="49" spans="1:9">
      <c r="A49" s="77"/>
      <c r="B49" s="77" t="s">
        <v>91</v>
      </c>
      <c r="C49" s="78">
        <f t="shared" si="4"/>
        <v>2261815.1861106725</v>
      </c>
      <c r="D49" s="78">
        <f t="shared" si="7"/>
        <v>23560.574855319504</v>
      </c>
      <c r="E49" s="78">
        <f t="shared" si="6"/>
        <v>96912.126105701056</v>
      </c>
      <c r="F49" s="78">
        <f t="shared" si="5"/>
        <v>120472.70096102056</v>
      </c>
      <c r="G49" s="78">
        <f t="shared" si="3"/>
        <v>2164903.0600049715</v>
      </c>
    </row>
    <row r="50" spans="1:9">
      <c r="A50" s="77"/>
      <c r="B50" s="77" t="s">
        <v>92</v>
      </c>
      <c r="C50" s="78">
        <f t="shared" si="4"/>
        <v>2164903.0600049715</v>
      </c>
      <c r="D50" s="78">
        <f t="shared" si="7"/>
        <v>22551.073541718451</v>
      </c>
      <c r="E50" s="78">
        <f t="shared" si="6"/>
        <v>97921.627419302109</v>
      </c>
      <c r="F50" s="78">
        <f t="shared" si="5"/>
        <v>120472.70096102056</v>
      </c>
      <c r="G50" s="78">
        <f t="shared" si="3"/>
        <v>2066981.4325856694</v>
      </c>
    </row>
    <row r="51" spans="1:9">
      <c r="A51" s="77"/>
      <c r="B51" s="77" t="s">
        <v>93</v>
      </c>
      <c r="C51" s="78">
        <f t="shared" si="4"/>
        <v>2066981.4325856694</v>
      </c>
      <c r="D51" s="78">
        <f t="shared" si="7"/>
        <v>21531.056589434058</v>
      </c>
      <c r="E51" s="78">
        <f t="shared" si="6"/>
        <v>98941.644371586503</v>
      </c>
      <c r="F51" s="78">
        <f t="shared" si="5"/>
        <v>120472.70096102056</v>
      </c>
      <c r="G51" s="78">
        <f t="shared" si="3"/>
        <v>1968039.7882140828</v>
      </c>
    </row>
    <row r="52" spans="1:9">
      <c r="A52" s="77"/>
      <c r="B52" s="77" t="s">
        <v>94</v>
      </c>
      <c r="C52" s="78">
        <f t="shared" si="4"/>
        <v>1968039.7882140828</v>
      </c>
      <c r="D52" s="78">
        <f t="shared" si="7"/>
        <v>20500.414460563363</v>
      </c>
      <c r="E52" s="78">
        <f t="shared" si="6"/>
        <v>99972.286500457194</v>
      </c>
      <c r="F52" s="78">
        <f t="shared" si="5"/>
        <v>120472.70096102056</v>
      </c>
      <c r="G52" s="78">
        <f t="shared" si="3"/>
        <v>1868067.5017136256</v>
      </c>
    </row>
    <row r="53" spans="1:9">
      <c r="A53" s="77"/>
      <c r="B53" s="77" t="s">
        <v>95</v>
      </c>
      <c r="C53" s="78">
        <f t="shared" si="4"/>
        <v>1868067.5017136256</v>
      </c>
      <c r="D53" s="78">
        <f t="shared" si="7"/>
        <v>19459.036476183599</v>
      </c>
      <c r="E53" s="78">
        <f t="shared" si="6"/>
        <v>101013.66448483696</v>
      </c>
      <c r="F53" s="78">
        <f t="shared" si="5"/>
        <v>120472.70096102056</v>
      </c>
      <c r="G53" s="78">
        <f t="shared" si="3"/>
        <v>1767053.8372287888</v>
      </c>
    </row>
    <row r="54" spans="1:9">
      <c r="A54" s="77"/>
      <c r="B54" s="77" t="s">
        <v>96</v>
      </c>
      <c r="C54" s="78">
        <f t="shared" si="4"/>
        <v>1767053.8372287888</v>
      </c>
      <c r="D54" s="78">
        <f t="shared" si="7"/>
        <v>18406.81080446655</v>
      </c>
      <c r="E54" s="78">
        <f t="shared" si="6"/>
        <v>102065.890156554</v>
      </c>
      <c r="F54" s="78">
        <f t="shared" si="5"/>
        <v>120472.70096102056</v>
      </c>
      <c r="G54" s="78">
        <f t="shared" si="3"/>
        <v>1664987.9470722347</v>
      </c>
    </row>
    <row r="55" spans="1:9">
      <c r="A55" s="77"/>
      <c r="B55" s="77" t="s">
        <v>97</v>
      </c>
      <c r="C55" s="78">
        <f t="shared" si="4"/>
        <v>1664987.9470722347</v>
      </c>
      <c r="D55" s="78">
        <f t="shared" si="7"/>
        <v>17343.62444866911</v>
      </c>
      <c r="E55" s="78">
        <f t="shared" si="6"/>
        <v>103129.07651235144</v>
      </c>
      <c r="F55" s="78">
        <f t="shared" si="5"/>
        <v>120472.70096102056</v>
      </c>
      <c r="G55" s="78">
        <f t="shared" si="3"/>
        <v>1561858.8705598833</v>
      </c>
    </row>
    <row r="56" spans="1:9">
      <c r="A56" s="77"/>
      <c r="B56" s="77" t="s">
        <v>98</v>
      </c>
      <c r="C56" s="78">
        <f t="shared" si="4"/>
        <v>1561858.8705598833</v>
      </c>
      <c r="D56" s="78">
        <f t="shared" si="7"/>
        <v>16269.363234998784</v>
      </c>
      <c r="E56" s="78">
        <f t="shared" si="6"/>
        <v>104203.33772602177</v>
      </c>
      <c r="F56" s="78">
        <f t="shared" si="5"/>
        <v>120472.70096102056</v>
      </c>
      <c r="G56" s="78">
        <f t="shared" si="3"/>
        <v>1457655.5328338617</v>
      </c>
    </row>
    <row r="57" spans="1:9">
      <c r="A57" s="77"/>
      <c r="B57" s="77" t="s">
        <v>99</v>
      </c>
      <c r="C57" s="78">
        <f t="shared" si="4"/>
        <v>1457655.5328338617</v>
      </c>
      <c r="D57" s="78">
        <f t="shared" si="7"/>
        <v>15183.911800352726</v>
      </c>
      <c r="E57" s="78">
        <f t="shared" si="6"/>
        <v>105288.78916066783</v>
      </c>
      <c r="F57" s="78">
        <f t="shared" si="5"/>
        <v>120472.70096102056</v>
      </c>
      <c r="G57" s="78">
        <f t="shared" si="3"/>
        <v>1352366.7436731937</v>
      </c>
      <c r="H57" s="1"/>
      <c r="I57" s="1"/>
    </row>
    <row r="58" spans="1:9">
      <c r="A58" s="77" t="s">
        <v>15</v>
      </c>
      <c r="B58" s="77" t="s">
        <v>100</v>
      </c>
      <c r="C58" s="78">
        <f t="shared" si="4"/>
        <v>1352366.7436731937</v>
      </c>
      <c r="D58" s="78">
        <f t="shared" si="7"/>
        <v>14087.153579929101</v>
      </c>
      <c r="E58" s="78">
        <f t="shared" si="6"/>
        <v>106385.54738109146</v>
      </c>
      <c r="F58" s="78">
        <f t="shared" si="5"/>
        <v>120472.70096102056</v>
      </c>
      <c r="G58" s="78">
        <f t="shared" si="3"/>
        <v>1245981.1962921023</v>
      </c>
    </row>
    <row r="59" spans="1:9">
      <c r="A59" s="77"/>
      <c r="B59" s="77" t="s">
        <v>101</v>
      </c>
      <c r="C59" s="78">
        <f t="shared" si="4"/>
        <v>1245981.1962921023</v>
      </c>
      <c r="D59" s="78">
        <f t="shared" si="7"/>
        <v>12978.970794709399</v>
      </c>
      <c r="E59" s="78">
        <f t="shared" si="6"/>
        <v>107493.73016631116</v>
      </c>
      <c r="F59" s="78">
        <f t="shared" si="5"/>
        <v>120472.70096102056</v>
      </c>
      <c r="G59" s="78">
        <f t="shared" si="3"/>
        <v>1138487.4661257912</v>
      </c>
    </row>
    <row r="60" spans="1:9">
      <c r="A60" s="77"/>
      <c r="B60" s="77" t="s">
        <v>102</v>
      </c>
      <c r="C60" s="78">
        <f t="shared" si="4"/>
        <v>1138487.4661257912</v>
      </c>
      <c r="D60" s="78">
        <f t="shared" si="7"/>
        <v>11859.244438810325</v>
      </c>
      <c r="E60" s="78">
        <f t="shared" si="6"/>
        <v>108613.45652221024</v>
      </c>
      <c r="F60" s="78">
        <f t="shared" si="5"/>
        <v>120472.70096102056</v>
      </c>
      <c r="G60" s="78">
        <f t="shared" si="3"/>
        <v>1029874.0096035809</v>
      </c>
    </row>
    <row r="61" spans="1:9">
      <c r="A61" s="77"/>
      <c r="B61" s="77" t="s">
        <v>103</v>
      </c>
      <c r="C61" s="78">
        <f t="shared" si="4"/>
        <v>1029874.0096035809</v>
      </c>
      <c r="D61" s="78">
        <f t="shared" si="7"/>
        <v>10727.854266703967</v>
      </c>
      <c r="E61" s="78">
        <f t="shared" si="6"/>
        <v>109744.84669431658</v>
      </c>
      <c r="F61" s="78">
        <f t="shared" si="5"/>
        <v>120472.70096102056</v>
      </c>
      <c r="G61" s="78">
        <f t="shared" si="3"/>
        <v>920129.16290926433</v>
      </c>
    </row>
    <row r="62" spans="1:9">
      <c r="A62" s="77"/>
      <c r="B62" s="77" t="s">
        <v>104</v>
      </c>
      <c r="C62" s="78">
        <f t="shared" si="4"/>
        <v>920129.16290926433</v>
      </c>
      <c r="D62" s="78">
        <f t="shared" si="7"/>
        <v>9584.6787803048373</v>
      </c>
      <c r="E62" s="78">
        <f t="shared" si="6"/>
        <v>110888.02218071572</v>
      </c>
      <c r="F62" s="78">
        <f t="shared" si="5"/>
        <v>120472.70096102056</v>
      </c>
      <c r="G62" s="78">
        <f t="shared" si="3"/>
        <v>809241.14072854863</v>
      </c>
    </row>
    <row r="63" spans="1:9">
      <c r="A63" s="77"/>
      <c r="B63" s="77" t="s">
        <v>105</v>
      </c>
      <c r="C63" s="78">
        <f t="shared" si="4"/>
        <v>809241.14072854863</v>
      </c>
      <c r="D63" s="78">
        <f t="shared" si="7"/>
        <v>8429.5952159223816</v>
      </c>
      <c r="E63" s="78">
        <f t="shared" si="6"/>
        <v>112043.10574509818</v>
      </c>
      <c r="F63" s="78">
        <f t="shared" si="5"/>
        <v>120472.70096102056</v>
      </c>
      <c r="G63" s="78">
        <f t="shared" si="3"/>
        <v>697198.03498345043</v>
      </c>
    </row>
    <row r="64" spans="1:9">
      <c r="A64" s="77"/>
      <c r="B64" s="77" t="s">
        <v>106</v>
      </c>
      <c r="C64" s="78">
        <f t="shared" si="4"/>
        <v>697198.03498345043</v>
      </c>
      <c r="D64" s="78">
        <f t="shared" si="7"/>
        <v>7262.479531077609</v>
      </c>
      <c r="E64" s="78">
        <f t="shared" si="6"/>
        <v>113210.22142994295</v>
      </c>
      <c r="F64" s="78">
        <f t="shared" si="5"/>
        <v>120472.70096102056</v>
      </c>
      <c r="G64" s="78">
        <f t="shared" si="3"/>
        <v>583987.81355350744</v>
      </c>
    </row>
    <row r="65" spans="1:9">
      <c r="A65" s="77"/>
      <c r="B65" s="77" t="s">
        <v>107</v>
      </c>
      <c r="C65" s="78">
        <f t="shared" si="4"/>
        <v>583987.81355350744</v>
      </c>
      <c r="D65" s="78">
        <f t="shared" si="7"/>
        <v>6083.2063911823689</v>
      </c>
      <c r="E65" s="78">
        <f t="shared" si="6"/>
        <v>114389.49456983819</v>
      </c>
      <c r="F65" s="78">
        <f t="shared" si="5"/>
        <v>120472.70096102056</v>
      </c>
      <c r="G65" s="78">
        <f t="shared" si="3"/>
        <v>469598.31898366928</v>
      </c>
    </row>
    <row r="66" spans="1:9">
      <c r="A66" s="77"/>
      <c r="B66" s="77" t="s">
        <v>108</v>
      </c>
      <c r="C66" s="78">
        <f t="shared" si="4"/>
        <v>469598.31898366928</v>
      </c>
      <c r="D66" s="78">
        <f t="shared" si="7"/>
        <v>4891.6491560798886</v>
      </c>
      <c r="E66" s="78">
        <f t="shared" si="6"/>
        <v>115581.05180494067</v>
      </c>
      <c r="F66" s="78">
        <f t="shared" si="5"/>
        <v>120472.70096102056</v>
      </c>
      <c r="G66" s="78">
        <f t="shared" si="3"/>
        <v>354017.26717872859</v>
      </c>
    </row>
    <row r="67" spans="1:9">
      <c r="A67" s="77"/>
      <c r="B67" s="77" t="s">
        <v>109</v>
      </c>
      <c r="C67" s="78">
        <f t="shared" si="4"/>
        <v>354017.26717872859</v>
      </c>
      <c r="D67" s="78">
        <f t="shared" si="7"/>
        <v>3687.6798664450894</v>
      </c>
      <c r="E67" s="78">
        <f t="shared" si="6"/>
        <v>116785.02109457547</v>
      </c>
      <c r="F67" s="78">
        <f t="shared" si="5"/>
        <v>120472.70096102056</v>
      </c>
      <c r="G67" s="78">
        <f t="shared" si="3"/>
        <v>237232.24608415313</v>
      </c>
    </row>
    <row r="68" spans="1:9">
      <c r="A68" s="77"/>
      <c r="B68" s="77" t="s">
        <v>110</v>
      </c>
      <c r="C68" s="78">
        <f t="shared" si="4"/>
        <v>237232.24608415313</v>
      </c>
      <c r="D68" s="78">
        <f t="shared" si="7"/>
        <v>2471.1692300432619</v>
      </c>
      <c r="E68" s="78">
        <f t="shared" si="6"/>
        <v>118001.53173097729</v>
      </c>
      <c r="F68" s="78">
        <f t="shared" si="5"/>
        <v>120472.70096102056</v>
      </c>
      <c r="G68" s="78">
        <f t="shared" si="3"/>
        <v>119230.71435317583</v>
      </c>
    </row>
    <row r="69" spans="1:9">
      <c r="A69" s="77"/>
      <c r="B69" s="77" t="s">
        <v>111</v>
      </c>
      <c r="C69" s="78">
        <f t="shared" si="4"/>
        <v>119230.71435317583</v>
      </c>
      <c r="D69" s="78">
        <f t="shared" si="7"/>
        <v>1241.9866078455816</v>
      </c>
      <c r="E69" s="78">
        <f t="shared" si="6"/>
        <v>119230.71435317498</v>
      </c>
      <c r="F69" s="78">
        <f t="shared" si="5"/>
        <v>120472.70096102056</v>
      </c>
      <c r="G69" s="78">
        <f t="shared" si="3"/>
        <v>8.5856299847364426E-10</v>
      </c>
      <c r="H69" s="1"/>
      <c r="I69" s="1"/>
    </row>
    <row r="70" spans="1:9">
      <c r="A70" s="77" t="s">
        <v>16</v>
      </c>
      <c r="B70" s="77" t="s">
        <v>112</v>
      </c>
      <c r="C70" s="78">
        <f t="shared" si="4"/>
        <v>8.5856299847364426E-10</v>
      </c>
      <c r="D70" s="78">
        <f t="shared" si="7"/>
        <v>8.9433645674337949E-12</v>
      </c>
      <c r="E70" s="78">
        <f t="shared" si="6"/>
        <v>120472.70096102054</v>
      </c>
      <c r="F70" s="78">
        <f t="shared" si="5"/>
        <v>120472.70096102056</v>
      </c>
      <c r="G70" s="78">
        <f t="shared" si="3"/>
        <v>-120472.70096101968</v>
      </c>
    </row>
    <row r="71" spans="1:9">
      <c r="A71" s="77"/>
      <c r="B71" s="77" t="s">
        <v>113</v>
      </c>
      <c r="C71" s="78">
        <f t="shared" si="4"/>
        <v>-120472.70096101968</v>
      </c>
      <c r="D71" s="78">
        <f t="shared" si="7"/>
        <v>-1254.923968343955</v>
      </c>
      <c r="E71" s="78">
        <f t="shared" si="6"/>
        <v>121727.62492936451</v>
      </c>
      <c r="F71" s="78">
        <f t="shared" si="5"/>
        <v>120472.70096102056</v>
      </c>
      <c r="G71" s="78">
        <f t="shared" si="3"/>
        <v>-242200.32589038421</v>
      </c>
    </row>
    <row r="72" spans="1:9">
      <c r="A72" s="77"/>
      <c r="B72" s="77" t="s">
        <v>114</v>
      </c>
      <c r="C72" s="78">
        <f t="shared" si="4"/>
        <v>-242200.32589038421</v>
      </c>
      <c r="D72" s="78">
        <f t="shared" si="7"/>
        <v>-2522.9200613581688</v>
      </c>
      <c r="E72" s="78">
        <f t="shared" si="6"/>
        <v>122995.62102237872</v>
      </c>
      <c r="F72" s="78">
        <f t="shared" si="5"/>
        <v>120472.70096102056</v>
      </c>
      <c r="G72" s="78">
        <f t="shared" si="3"/>
        <v>-365195.94691276294</v>
      </c>
    </row>
    <row r="73" spans="1:9">
      <c r="A73" s="77"/>
      <c r="B73" s="77" t="s">
        <v>115</v>
      </c>
      <c r="C73" s="78">
        <f t="shared" si="4"/>
        <v>-365195.94691276294</v>
      </c>
      <c r="D73" s="78">
        <f t="shared" si="7"/>
        <v>-3804.1244470079473</v>
      </c>
      <c r="E73" s="78">
        <f t="shared" si="6"/>
        <v>124276.8254080285</v>
      </c>
      <c r="F73" s="78">
        <f t="shared" si="5"/>
        <v>120472.70096102056</v>
      </c>
      <c r="G73" s="78">
        <f t="shared" si="3"/>
        <v>-489472.77232079144</v>
      </c>
    </row>
    <row r="74" spans="1:9">
      <c r="A74" s="77"/>
      <c r="B74" s="77" t="s">
        <v>116</v>
      </c>
      <c r="C74" s="78">
        <f t="shared" si="4"/>
        <v>-489472.77232079144</v>
      </c>
      <c r="D74" s="78">
        <f t="shared" ref="D74:D93" si="8">C74*$D$5/12</f>
        <v>-5098.6747116749111</v>
      </c>
      <c r="E74" s="78">
        <f t="shared" si="6"/>
        <v>125571.37567269547</v>
      </c>
      <c r="F74" s="78">
        <f t="shared" si="5"/>
        <v>120472.70096102056</v>
      </c>
      <c r="G74" s="78">
        <f t="shared" si="3"/>
        <v>-615044.14799348696</v>
      </c>
    </row>
    <row r="75" spans="1:9">
      <c r="A75" s="77"/>
      <c r="B75" s="77" t="s">
        <v>117</v>
      </c>
      <c r="C75" s="78">
        <f t="shared" si="4"/>
        <v>-615044.14799348696</v>
      </c>
      <c r="D75" s="78">
        <f t="shared" si="8"/>
        <v>-6406.7098749321558</v>
      </c>
      <c r="E75" s="78">
        <f t="shared" si="6"/>
        <v>126879.41083595272</v>
      </c>
      <c r="F75" s="78">
        <f t="shared" ref="F75:F93" si="9">$D$8</f>
        <v>120472.70096102056</v>
      </c>
      <c r="G75" s="78">
        <f t="shared" ref="G75:G93" si="10">C75-E75</f>
        <v>-741923.55882943969</v>
      </c>
    </row>
    <row r="76" spans="1:9">
      <c r="A76" s="77"/>
      <c r="B76" s="77" t="s">
        <v>118</v>
      </c>
      <c r="C76" s="78">
        <f t="shared" ref="C76:C93" si="11">G75</f>
        <v>-741923.55882943969</v>
      </c>
      <c r="D76" s="78">
        <f t="shared" si="8"/>
        <v>-7728.3704044733304</v>
      </c>
      <c r="E76" s="78">
        <f t="shared" si="6"/>
        <v>128201.07136549389</v>
      </c>
      <c r="F76" s="78">
        <f t="shared" si="9"/>
        <v>120472.70096102056</v>
      </c>
      <c r="G76" s="78">
        <f t="shared" si="10"/>
        <v>-870124.63019493362</v>
      </c>
    </row>
    <row r="77" spans="1:9">
      <c r="A77" s="77"/>
      <c r="B77" s="77" t="s">
        <v>119</v>
      </c>
      <c r="C77" s="78">
        <f t="shared" si="11"/>
        <v>-870124.63019493362</v>
      </c>
      <c r="D77" s="78">
        <f t="shared" si="8"/>
        <v>-9063.7982311972246</v>
      </c>
      <c r="E77" s="78">
        <f t="shared" si="6"/>
        <v>129536.49919221779</v>
      </c>
      <c r="F77" s="78">
        <f t="shared" si="9"/>
        <v>120472.70096102056</v>
      </c>
      <c r="G77" s="78">
        <f t="shared" si="10"/>
        <v>-999661.12938715145</v>
      </c>
    </row>
    <row r="78" spans="1:9">
      <c r="A78" s="77"/>
      <c r="B78" s="77" t="s">
        <v>120</v>
      </c>
      <c r="C78" s="78">
        <f t="shared" si="11"/>
        <v>-999661.12938715145</v>
      </c>
      <c r="D78" s="78">
        <f t="shared" si="8"/>
        <v>-10413.136764449495</v>
      </c>
      <c r="E78" s="78">
        <f t="shared" si="6"/>
        <v>130885.83772547005</v>
      </c>
      <c r="F78" s="78">
        <f t="shared" si="9"/>
        <v>120472.70096102056</v>
      </c>
      <c r="G78" s="78">
        <f t="shared" si="10"/>
        <v>-1130546.9671126215</v>
      </c>
    </row>
    <row r="79" spans="1:9">
      <c r="A79" s="77"/>
      <c r="B79" s="77" t="s">
        <v>121</v>
      </c>
      <c r="C79" s="78">
        <f t="shared" si="11"/>
        <v>-1130546.9671126215</v>
      </c>
      <c r="D79" s="78">
        <f t="shared" si="8"/>
        <v>-11776.530907423141</v>
      </c>
      <c r="E79" s="78">
        <f t="shared" si="6"/>
        <v>132249.23186844369</v>
      </c>
      <c r="F79" s="78">
        <f t="shared" si="9"/>
        <v>120472.70096102056</v>
      </c>
      <c r="G79" s="78">
        <f t="shared" si="10"/>
        <v>-1262796.1989810653</v>
      </c>
    </row>
    <row r="80" spans="1:9">
      <c r="A80" s="77"/>
      <c r="B80" s="77" t="s">
        <v>122</v>
      </c>
      <c r="C80" s="78">
        <f t="shared" si="11"/>
        <v>-1262796.1989810653</v>
      </c>
      <c r="D80" s="78">
        <f t="shared" si="8"/>
        <v>-13154.12707271943</v>
      </c>
      <c r="E80" s="78">
        <f t="shared" si="6"/>
        <v>133626.82803373999</v>
      </c>
      <c r="F80" s="78">
        <f t="shared" si="9"/>
        <v>120472.70096102056</v>
      </c>
      <c r="G80" s="78">
        <f t="shared" si="10"/>
        <v>-1396423.0270148052</v>
      </c>
    </row>
    <row r="81" spans="1:9">
      <c r="A81" s="77"/>
      <c r="B81" s="77" t="s">
        <v>123</v>
      </c>
      <c r="C81" s="78">
        <f t="shared" si="11"/>
        <v>-1396423.0270148052</v>
      </c>
      <c r="D81" s="78">
        <f t="shared" si="8"/>
        <v>-14546.073198070888</v>
      </c>
      <c r="E81" s="78">
        <f t="shared" ref="E81:E93" si="12">F81-D81</f>
        <v>135018.77415909144</v>
      </c>
      <c r="F81" s="78">
        <f t="shared" si="9"/>
        <v>120472.70096102056</v>
      </c>
      <c r="G81" s="78">
        <f t="shared" si="10"/>
        <v>-1531441.8011738968</v>
      </c>
      <c r="H81" s="1"/>
      <c r="I81" s="1"/>
    </row>
    <row r="82" spans="1:9">
      <c r="A82" s="77" t="s">
        <v>280</v>
      </c>
      <c r="B82" s="77" t="s">
        <v>215</v>
      </c>
      <c r="C82" s="78">
        <f t="shared" si="11"/>
        <v>-1531441.8011738968</v>
      </c>
      <c r="D82" s="78">
        <f t="shared" si="8"/>
        <v>-15952.518762228092</v>
      </c>
      <c r="E82" s="78">
        <f t="shared" si="12"/>
        <v>136425.21972324865</v>
      </c>
      <c r="F82" s="78">
        <f t="shared" si="9"/>
        <v>120472.70096102056</v>
      </c>
      <c r="G82" s="78">
        <f t="shared" si="10"/>
        <v>-1667867.0208971454</v>
      </c>
    </row>
    <row r="83" spans="1:9">
      <c r="A83" s="77"/>
      <c r="B83" s="77" t="s">
        <v>216</v>
      </c>
      <c r="C83" s="78">
        <f t="shared" si="11"/>
        <v>-1667867.0208971454</v>
      </c>
      <c r="D83" s="78">
        <f t="shared" si="8"/>
        <v>-17373.614801011932</v>
      </c>
      <c r="E83" s="78">
        <f t="shared" si="12"/>
        <v>137846.31576203249</v>
      </c>
      <c r="F83" s="78">
        <f t="shared" si="9"/>
        <v>120472.70096102056</v>
      </c>
      <c r="G83" s="78">
        <f t="shared" si="10"/>
        <v>-1805713.3366591779</v>
      </c>
    </row>
    <row r="84" spans="1:9">
      <c r="A84" s="77"/>
      <c r="B84" s="77" t="s">
        <v>217</v>
      </c>
      <c r="C84" s="78">
        <f t="shared" si="11"/>
        <v>-1805713.3366591779</v>
      </c>
      <c r="D84" s="78">
        <f t="shared" si="8"/>
        <v>-18809.513923533104</v>
      </c>
      <c r="E84" s="78">
        <f t="shared" si="12"/>
        <v>139282.21488455366</v>
      </c>
      <c r="F84" s="78">
        <f t="shared" si="9"/>
        <v>120472.70096102056</v>
      </c>
      <c r="G84" s="78">
        <f t="shared" si="10"/>
        <v>-1944995.5515437315</v>
      </c>
    </row>
    <row r="85" spans="1:9">
      <c r="A85" s="77"/>
      <c r="B85" s="77" t="s">
        <v>218</v>
      </c>
      <c r="C85" s="78">
        <f t="shared" si="11"/>
        <v>-1944995.5515437315</v>
      </c>
      <c r="D85" s="78">
        <f t="shared" si="8"/>
        <v>-20260.370328580535</v>
      </c>
      <c r="E85" s="78">
        <f t="shared" si="12"/>
        <v>140733.0712896011</v>
      </c>
      <c r="F85" s="78">
        <f t="shared" si="9"/>
        <v>120472.70096102056</v>
      </c>
      <c r="G85" s="78">
        <f t="shared" si="10"/>
        <v>-2085728.6228333325</v>
      </c>
    </row>
    <row r="86" spans="1:9">
      <c r="A86" s="77"/>
      <c r="B86" s="77" t="s">
        <v>219</v>
      </c>
      <c r="C86" s="78">
        <f t="shared" si="11"/>
        <v>-2085728.6228333325</v>
      </c>
      <c r="D86" s="78">
        <f t="shared" si="8"/>
        <v>-21726.339821180547</v>
      </c>
      <c r="E86" s="78">
        <f t="shared" si="12"/>
        <v>142199.0407822011</v>
      </c>
      <c r="F86" s="78">
        <f t="shared" si="9"/>
        <v>120472.70096102056</v>
      </c>
      <c r="G86" s="78">
        <f t="shared" si="10"/>
        <v>-2227927.6636155336</v>
      </c>
    </row>
    <row r="87" spans="1:9">
      <c r="A87" s="77"/>
      <c r="B87" s="77" t="s">
        <v>220</v>
      </c>
      <c r="C87" s="78">
        <f t="shared" si="11"/>
        <v>-2227927.6636155336</v>
      </c>
      <c r="D87" s="78">
        <f t="shared" si="8"/>
        <v>-23207.579829328475</v>
      </c>
      <c r="E87" s="78">
        <f t="shared" si="12"/>
        <v>143680.28079034903</v>
      </c>
      <c r="F87" s="78">
        <f t="shared" si="9"/>
        <v>120472.70096102056</v>
      </c>
      <c r="G87" s="78">
        <f t="shared" si="10"/>
        <v>-2371607.9444058826</v>
      </c>
    </row>
    <row r="88" spans="1:9">
      <c r="A88" s="77"/>
      <c r="B88" s="77" t="s">
        <v>221</v>
      </c>
      <c r="C88" s="78">
        <f t="shared" si="11"/>
        <v>-2371607.9444058826</v>
      </c>
      <c r="D88" s="78">
        <f t="shared" si="8"/>
        <v>-24704.249420894612</v>
      </c>
      <c r="E88" s="78">
        <f t="shared" si="12"/>
        <v>145176.95038191517</v>
      </c>
      <c r="F88" s="78">
        <f t="shared" si="9"/>
        <v>120472.70096102056</v>
      </c>
      <c r="G88" s="78">
        <f t="shared" si="10"/>
        <v>-2516784.8947877977</v>
      </c>
    </row>
    <row r="89" spans="1:9">
      <c r="A89" s="77"/>
      <c r="B89" s="77" t="s">
        <v>222</v>
      </c>
      <c r="C89" s="78">
        <f t="shared" si="11"/>
        <v>-2516784.8947877977</v>
      </c>
      <c r="D89" s="78">
        <f t="shared" si="8"/>
        <v>-26216.509320706227</v>
      </c>
      <c r="E89" s="78">
        <f t="shared" si="12"/>
        <v>146689.21028172679</v>
      </c>
      <c r="F89" s="78">
        <f t="shared" si="9"/>
        <v>120472.70096102056</v>
      </c>
      <c r="G89" s="78">
        <f t="shared" si="10"/>
        <v>-2663474.1050695246</v>
      </c>
    </row>
    <row r="90" spans="1:9">
      <c r="A90" s="77"/>
      <c r="B90" s="77" t="s">
        <v>223</v>
      </c>
      <c r="C90" s="78">
        <f t="shared" si="11"/>
        <v>-2663474.1050695246</v>
      </c>
      <c r="D90" s="78">
        <f t="shared" si="8"/>
        <v>-27744.521927807549</v>
      </c>
      <c r="E90" s="78">
        <f t="shared" si="12"/>
        <v>148217.22288882811</v>
      </c>
      <c r="F90" s="78">
        <f t="shared" si="9"/>
        <v>120472.70096102056</v>
      </c>
      <c r="G90" s="78">
        <f t="shared" si="10"/>
        <v>-2811691.3279583529</v>
      </c>
    </row>
    <row r="91" spans="1:9">
      <c r="A91" s="77"/>
      <c r="B91" s="77" t="s">
        <v>224</v>
      </c>
      <c r="C91" s="78">
        <f t="shared" si="11"/>
        <v>-2811691.3279583529</v>
      </c>
      <c r="D91" s="78">
        <f t="shared" si="8"/>
        <v>-29288.451332899509</v>
      </c>
      <c r="E91" s="78">
        <f t="shared" si="12"/>
        <v>149761.15229392005</v>
      </c>
      <c r="F91" s="78">
        <f t="shared" si="9"/>
        <v>120472.70096102056</v>
      </c>
      <c r="G91" s="78">
        <f t="shared" si="10"/>
        <v>-2961452.4802522729</v>
      </c>
    </row>
    <row r="92" spans="1:9">
      <c r="A92" s="77"/>
      <c r="B92" s="77" t="s">
        <v>225</v>
      </c>
      <c r="C92" s="78">
        <f t="shared" si="11"/>
        <v>-2961452.4802522729</v>
      </c>
      <c r="D92" s="78">
        <f t="shared" si="8"/>
        <v>-30848.463335961176</v>
      </c>
      <c r="E92" s="78">
        <f t="shared" si="12"/>
        <v>151321.16429698173</v>
      </c>
      <c r="F92" s="78">
        <f t="shared" si="9"/>
        <v>120472.70096102056</v>
      </c>
      <c r="G92" s="78">
        <f t="shared" si="10"/>
        <v>-3112773.6445492548</v>
      </c>
    </row>
    <row r="93" spans="1:9">
      <c r="A93" s="77"/>
      <c r="B93" s="77" t="s">
        <v>226</v>
      </c>
      <c r="C93" s="78">
        <f t="shared" si="11"/>
        <v>-3112773.6445492548</v>
      </c>
      <c r="D93" s="78">
        <f t="shared" si="8"/>
        <v>-32424.725464054736</v>
      </c>
      <c r="E93" s="78">
        <f t="shared" si="12"/>
        <v>152897.4264250753</v>
      </c>
      <c r="F93" s="78">
        <f t="shared" si="9"/>
        <v>120472.70096102056</v>
      </c>
      <c r="G93" s="78">
        <f t="shared" si="10"/>
        <v>-3265671.07097433</v>
      </c>
    </row>
    <row r="94" spans="1:9">
      <c r="A94" s="76"/>
      <c r="B94" s="76"/>
      <c r="C94" s="76"/>
      <c r="D94" s="83">
        <f>SUM(D10:D93)</f>
        <v>1484552.1039852747</v>
      </c>
      <c r="E94" s="83">
        <f>SUM(E10:E93)</f>
        <v>8222095.0709743304</v>
      </c>
      <c r="F94" s="76"/>
      <c r="G94" s="76"/>
    </row>
    <row r="95" spans="1:9" ht="39.950000000000003" customHeight="1">
      <c r="A95" s="380" t="s">
        <v>425</v>
      </c>
      <c r="B95" s="380"/>
      <c r="C95" s="380"/>
      <c r="D95" s="380"/>
      <c r="E95" s="380"/>
      <c r="F95" s="380"/>
      <c r="G95" s="380"/>
      <c r="H95" s="380"/>
    </row>
    <row r="96" spans="1:9">
      <c r="A96" t="s">
        <v>542</v>
      </c>
    </row>
    <row r="97" spans="1:2">
      <c r="A97">
        <v>1</v>
      </c>
      <c r="B97" t="s">
        <v>543</v>
      </c>
    </row>
    <row r="98" spans="1:2">
      <c r="A98">
        <v>2</v>
      </c>
      <c r="B98" t="s">
        <v>544</v>
      </c>
    </row>
  </sheetData>
  <mergeCells count="2">
    <mergeCell ref="A2:G2"/>
    <mergeCell ref="A95:H95"/>
  </mergeCells>
  <pageMargins left="0.7" right="0.7"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13" zoomScale="80" zoomScaleSheetLayoutView="80" workbookViewId="0"/>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62" t="s">
        <v>567</v>
      </c>
      <c r="D2" s="362"/>
      <c r="E2" s="362"/>
      <c r="F2" s="362"/>
      <c r="G2" s="362"/>
      <c r="H2" s="362"/>
      <c r="I2" s="362"/>
      <c r="J2" s="362"/>
      <c r="K2" s="362"/>
      <c r="L2" s="179"/>
    </row>
    <row r="4" spans="3:22">
      <c r="C4" s="67" t="s">
        <v>0</v>
      </c>
      <c r="D4" s="67"/>
      <c r="E4" s="68" t="s">
        <v>2</v>
      </c>
      <c r="F4" s="68" t="s">
        <v>3</v>
      </c>
      <c r="G4" s="68" t="s">
        <v>4</v>
      </c>
      <c r="H4" s="68" t="s">
        <v>5</v>
      </c>
      <c r="I4" s="68" t="s">
        <v>6</v>
      </c>
      <c r="J4" s="68" t="s">
        <v>169</v>
      </c>
      <c r="K4" s="68" t="s">
        <v>168</v>
      </c>
      <c r="L4" s="76"/>
      <c r="M4" s="76"/>
      <c r="N4" s="219"/>
      <c r="O4" s="219"/>
      <c r="P4" s="219"/>
      <c r="Q4" s="219"/>
      <c r="R4" s="219"/>
      <c r="S4" s="219"/>
      <c r="T4" s="219"/>
      <c r="U4" s="219"/>
      <c r="V4" s="219"/>
    </row>
    <row r="5" spans="3:22">
      <c r="C5" s="77" t="s">
        <v>371</v>
      </c>
      <c r="D5" s="77"/>
      <c r="E5" s="77"/>
      <c r="F5" s="77"/>
      <c r="G5" s="77"/>
      <c r="H5" s="77"/>
      <c r="I5" s="77"/>
      <c r="J5" s="77"/>
      <c r="K5" s="77"/>
      <c r="L5" s="76"/>
      <c r="M5" s="76"/>
      <c r="N5" s="382" t="s">
        <v>539</v>
      </c>
      <c r="O5" s="382"/>
      <c r="P5" s="382"/>
      <c r="Q5" s="382"/>
      <c r="R5" s="382"/>
      <c r="S5" s="219"/>
      <c r="T5" s="219"/>
      <c r="U5" s="382" t="s">
        <v>540</v>
      </c>
      <c r="V5" s="382"/>
    </row>
    <row r="6" spans="3:22">
      <c r="C6" s="77" t="s">
        <v>372</v>
      </c>
      <c r="D6" s="164"/>
      <c r="E6" s="77"/>
      <c r="F6" s="78">
        <f t="shared" ref="F6:K9" si="0">E15</f>
        <v>0</v>
      </c>
      <c r="G6" s="78">
        <f t="shared" si="0"/>
        <v>0</v>
      </c>
      <c r="H6" s="78">
        <f t="shared" si="0"/>
        <v>0</v>
      </c>
      <c r="I6" s="78">
        <f t="shared" si="0"/>
        <v>0</v>
      </c>
      <c r="J6" s="78">
        <f t="shared" si="0"/>
        <v>0</v>
      </c>
      <c r="K6" s="78">
        <f t="shared" si="0"/>
        <v>0</v>
      </c>
      <c r="L6" s="76"/>
      <c r="M6" s="76"/>
      <c r="N6" s="381" t="s">
        <v>541</v>
      </c>
      <c r="O6" s="381"/>
      <c r="P6" s="381"/>
      <c r="Q6" s="381"/>
      <c r="R6" s="381"/>
      <c r="S6" s="219"/>
      <c r="T6" s="219"/>
      <c r="U6" s="381" t="s">
        <v>541</v>
      </c>
      <c r="V6" s="381"/>
    </row>
    <row r="7" spans="3:22">
      <c r="C7" s="77" t="s">
        <v>458</v>
      </c>
      <c r="D7" s="164"/>
      <c r="E7" s="77"/>
      <c r="F7" s="78">
        <f t="shared" si="0"/>
        <v>0</v>
      </c>
      <c r="G7" s="78">
        <f t="shared" si="0"/>
        <v>0</v>
      </c>
      <c r="H7" s="78">
        <f t="shared" si="0"/>
        <v>0</v>
      </c>
      <c r="I7" s="78">
        <f t="shared" si="0"/>
        <v>0</v>
      </c>
      <c r="J7" s="78">
        <f t="shared" si="0"/>
        <v>0</v>
      </c>
      <c r="K7" s="78">
        <f t="shared" si="0"/>
        <v>0</v>
      </c>
      <c r="L7" s="76"/>
      <c r="M7" s="76"/>
      <c r="N7" s="220" t="s">
        <v>0</v>
      </c>
      <c r="O7" s="220" t="s">
        <v>163</v>
      </c>
      <c r="P7" s="220" t="s">
        <v>164</v>
      </c>
      <c r="Q7" s="220" t="s">
        <v>316</v>
      </c>
      <c r="R7" s="220" t="s">
        <v>317</v>
      </c>
      <c r="S7" s="219"/>
      <c r="T7" s="219"/>
      <c r="U7" s="292" t="s">
        <v>0</v>
      </c>
      <c r="V7" s="292" t="s">
        <v>498</v>
      </c>
    </row>
    <row r="8" spans="3:22">
      <c r="C8" s="77" t="s">
        <v>557</v>
      </c>
      <c r="D8" s="164"/>
      <c r="E8" s="77"/>
      <c r="F8" s="78">
        <f t="shared" si="0"/>
        <v>4796353.0196400005</v>
      </c>
      <c r="G8" s="78">
        <f t="shared" si="0"/>
        <v>5423568.4145160019</v>
      </c>
      <c r="H8" s="78">
        <f t="shared" si="0"/>
        <v>6101514.4663305022</v>
      </c>
      <c r="I8" s="78">
        <f t="shared" si="0"/>
        <v>6833696.2022901643</v>
      </c>
      <c r="J8" s="78">
        <f t="shared" si="0"/>
        <v>7623842.3256799644</v>
      </c>
      <c r="K8" s="78">
        <f t="shared" si="0"/>
        <v>8475918.8209030181</v>
      </c>
      <c r="L8" s="76"/>
      <c r="M8" s="76"/>
      <c r="N8" s="221" t="s">
        <v>373</v>
      </c>
      <c r="O8" s="221">
        <f>'13.Facility 2 Grain Processing'!C158</f>
        <v>5000</v>
      </c>
      <c r="P8" s="221">
        <f>'13.Facility 2 Grain Processing'!C159</f>
        <v>5600</v>
      </c>
      <c r="Q8" s="221">
        <f>'13.Facility 2 Grain Processing'!C160</f>
        <v>5700</v>
      </c>
      <c r="R8" s="221">
        <f>'13.Facility 2 Grain Processing'!C161</f>
        <v>6000</v>
      </c>
      <c r="S8" s="219"/>
      <c r="T8" s="219"/>
      <c r="U8" s="221" t="s">
        <v>346</v>
      </c>
      <c r="V8" s="221">
        <f>'17.Facility 6 Horti Processing '!C163</f>
        <v>6000</v>
      </c>
    </row>
    <row r="9" spans="3:22">
      <c r="C9" s="77" t="str">
        <f>C18</f>
        <v xml:space="preserve">Horticulture Processing </v>
      </c>
      <c r="D9" s="77"/>
      <c r="E9" s="77"/>
      <c r="F9" s="78">
        <f>E18</f>
        <v>0</v>
      </c>
      <c r="G9" s="78">
        <f t="shared" si="0"/>
        <v>0</v>
      </c>
      <c r="H9" s="78">
        <f t="shared" si="0"/>
        <v>0</v>
      </c>
      <c r="I9" s="78">
        <f t="shared" si="0"/>
        <v>0</v>
      </c>
      <c r="J9" s="78">
        <f t="shared" si="0"/>
        <v>0</v>
      </c>
      <c r="K9" s="78">
        <f t="shared" si="0"/>
        <v>0</v>
      </c>
      <c r="L9" s="76"/>
      <c r="M9" s="76"/>
      <c r="N9" s="221" t="str">
        <f>'13.Facility 2 Grain Processing'!A164</f>
        <v>Oil (Liters)</v>
      </c>
      <c r="O9" s="221">
        <f>('13.Facility 2 Grain Processing'!B164*'13.Facility 2 Grain Processing'!C164/1000)*100</f>
        <v>20</v>
      </c>
      <c r="P9" s="221">
        <f>O9</f>
        <v>20</v>
      </c>
      <c r="Q9" s="221">
        <f t="shared" ref="Q9:R9" si="1">P9</f>
        <v>20</v>
      </c>
      <c r="R9" s="221">
        <f t="shared" si="1"/>
        <v>20</v>
      </c>
      <c r="S9" s="219"/>
      <c r="T9" s="219"/>
      <c r="U9" s="221" t="str">
        <f>'17.Facility 6 Horti Processing '!A164</f>
        <v>Other Consumbales</v>
      </c>
      <c r="V9" s="222">
        <f>'17.Facility 6 Horti Processing '!C164</f>
        <v>2000</v>
      </c>
    </row>
    <row r="10" spans="3:22">
      <c r="C10" s="77"/>
      <c r="D10" s="77"/>
      <c r="E10" s="77"/>
      <c r="F10" s="78"/>
      <c r="G10" s="78"/>
      <c r="H10" s="78"/>
      <c r="I10" s="78"/>
      <c r="J10" s="78"/>
      <c r="K10" s="78"/>
      <c r="L10" s="76"/>
      <c r="M10" s="76"/>
      <c r="N10" s="221" t="str">
        <f>'13.Facility 2 Grain Processing'!A165</f>
        <v xml:space="preserve">Daily Labour </v>
      </c>
      <c r="O10" s="223">
        <f>('13.Facility 2 Grain Processing'!B165*'13.Facility 2 Grain Processing'!C165)/('13.Facility 2 Grain Processing'!B5*'13.Facility 2 Grain Processing'!B6)</f>
        <v>25</v>
      </c>
      <c r="P10" s="223">
        <f>O10</f>
        <v>25</v>
      </c>
      <c r="Q10" s="223">
        <f t="shared" ref="Q10:R10" si="2">P10</f>
        <v>25</v>
      </c>
      <c r="R10" s="223">
        <f t="shared" si="2"/>
        <v>25</v>
      </c>
      <c r="S10" s="219"/>
      <c r="T10" s="219"/>
      <c r="U10" s="221" t="str">
        <f>'17.Facility 6 Horti Processing '!A165</f>
        <v xml:space="preserve">Daily Labour </v>
      </c>
      <c r="V10" s="222">
        <f>'17.Facility 6 Horti Processing '!B165*'17.Facility 6 Horti Processing '!C165/('17.Facility 6 Horti Processing '!B5*'17.Facility 6 Horti Processing '!B6)</f>
        <v>187.5</v>
      </c>
    </row>
    <row r="11" spans="3:22">
      <c r="C11" s="77"/>
      <c r="D11" s="77"/>
      <c r="E11" s="77"/>
      <c r="F11" s="78"/>
      <c r="G11" s="78"/>
      <c r="H11" s="78"/>
      <c r="I11" s="78"/>
      <c r="J11" s="78"/>
      <c r="K11" s="78"/>
      <c r="L11" s="76"/>
      <c r="M11" s="76"/>
      <c r="N11" s="221" t="str">
        <f>'13.Facility 2 Grain Processing'!A166</f>
        <v>Electricity Charges</v>
      </c>
      <c r="O11" s="223">
        <f>('13.Facility 2 Grain Processing'!B166*'13.Facility 2 Grain Processing'!C166)/('13.Facility 2 Grain Processing'!B5*'13.Facility 2 Grain Processing'!B6)</f>
        <v>75</v>
      </c>
      <c r="P11" s="223">
        <f>O11</f>
        <v>75</v>
      </c>
      <c r="Q11" s="223">
        <f t="shared" ref="Q11" si="3">P11</f>
        <v>75</v>
      </c>
      <c r="R11" s="223">
        <f t="shared" ref="R11" si="4">Q11</f>
        <v>75</v>
      </c>
      <c r="S11" s="219"/>
      <c r="T11" s="219"/>
      <c r="U11" s="221" t="str">
        <f>'17.Facility 6 Horti Processing '!A166</f>
        <v>Electricity Charges</v>
      </c>
      <c r="V11" s="221">
        <f>'17.Facility 6 Horti Processing '!B166*'17.Facility 6 Horti Processing '!C166/('17.Facility 6 Horti Processing '!B5*'17.Facility 6 Horti Processing '!B6)</f>
        <v>0</v>
      </c>
    </row>
    <row r="12" spans="3:22">
      <c r="C12" s="77" t="s">
        <v>1</v>
      </c>
      <c r="D12" s="77"/>
      <c r="E12" s="78"/>
      <c r="F12" s="78">
        <f t="shared" ref="F12:K12" si="5">SUM(F6:F11)</f>
        <v>4796353.0196400005</v>
      </c>
      <c r="G12" s="78">
        <f t="shared" si="5"/>
        <v>5423568.4145160019</v>
      </c>
      <c r="H12" s="78">
        <f t="shared" si="5"/>
        <v>6101514.4663305022</v>
      </c>
      <c r="I12" s="78">
        <f t="shared" si="5"/>
        <v>6833696.2022901643</v>
      </c>
      <c r="J12" s="78">
        <f t="shared" si="5"/>
        <v>7623842.3256799644</v>
      </c>
      <c r="K12" s="78">
        <f t="shared" si="5"/>
        <v>8475918.8209030181</v>
      </c>
      <c r="L12" s="76"/>
      <c r="M12" s="76"/>
      <c r="N12" s="221" t="str">
        <f>'13.Facility 2 Grain Processing'!A167</f>
        <v>Loading/Unloading Charges</v>
      </c>
      <c r="O12" s="221">
        <f>'13.Facility 2 Grain Processing'!C167*2</f>
        <v>20</v>
      </c>
      <c r="P12" s="221">
        <f>O12</f>
        <v>20</v>
      </c>
      <c r="Q12" s="221">
        <f t="shared" ref="Q12:R13" si="6">P12</f>
        <v>20</v>
      </c>
      <c r="R12" s="221">
        <f t="shared" si="6"/>
        <v>20</v>
      </c>
      <c r="S12" s="219"/>
      <c r="T12" s="219"/>
      <c r="U12" s="221" t="str">
        <f>'17.Facility 6 Horti Processing '!A167</f>
        <v>Loading/Unloading Charges</v>
      </c>
      <c r="V12" s="221">
        <f>'17.Facility 6 Horti Processing '!C167</f>
        <v>10</v>
      </c>
    </row>
    <row r="13" spans="3:22">
      <c r="C13" s="77"/>
      <c r="D13" s="77"/>
      <c r="E13" s="77"/>
      <c r="F13" s="78"/>
      <c r="G13" s="78"/>
      <c r="H13" s="78"/>
      <c r="I13" s="78"/>
      <c r="J13" s="78"/>
      <c r="K13" s="78"/>
      <c r="L13" s="76"/>
      <c r="M13" s="76"/>
      <c r="N13" s="221" t="str">
        <f>'13.Facility 2 Grain Processing'!A168</f>
        <v>packaging Exp</v>
      </c>
      <c r="O13" s="221">
        <f>'13.Facility 2 Grain Processing'!C168*2</f>
        <v>40</v>
      </c>
      <c r="P13" s="221">
        <f>O13</f>
        <v>40</v>
      </c>
      <c r="Q13" s="221">
        <f t="shared" si="6"/>
        <v>40</v>
      </c>
      <c r="R13" s="221">
        <f t="shared" si="6"/>
        <v>40</v>
      </c>
      <c r="S13" s="219"/>
      <c r="T13" s="219"/>
      <c r="U13" s="221" t="str">
        <f>'17.Facility 6 Horti Processing '!A168</f>
        <v>packaging Exp</v>
      </c>
      <c r="V13" s="9">
        <f>'17.Facility 6 Horti Processing '!C168*100</f>
        <v>200</v>
      </c>
    </row>
    <row r="14" spans="3:22">
      <c r="C14" s="79" t="s">
        <v>348</v>
      </c>
      <c r="D14" s="77"/>
      <c r="E14" s="77"/>
      <c r="F14" s="78"/>
      <c r="G14" s="78"/>
      <c r="H14" s="78"/>
      <c r="I14" s="78"/>
      <c r="J14" s="78"/>
      <c r="K14" s="78"/>
      <c r="L14" s="76"/>
      <c r="M14" s="76"/>
      <c r="N14" s="221"/>
      <c r="O14" s="9"/>
      <c r="P14" s="9"/>
      <c r="Q14" s="9"/>
      <c r="R14" s="9"/>
      <c r="S14" s="219"/>
      <c r="T14" s="219"/>
      <c r="U14" s="9"/>
      <c r="V14" s="9"/>
    </row>
    <row r="15" spans="3:22">
      <c r="C15" s="77" t="str">
        <f>C6</f>
        <v>Agri Input</v>
      </c>
      <c r="D15" s="248">
        <v>0.05</v>
      </c>
      <c r="E15" s="78">
        <f>SUM('16.Facility 5 Agri Input'!D197:D252)*$D$15</f>
        <v>0</v>
      </c>
      <c r="F15" s="78">
        <f>SUM('16.Facility 5 Agri Input'!E197:E252)*$D$15</f>
        <v>0</v>
      </c>
      <c r="G15" s="78">
        <f>SUM('16.Facility 5 Agri Input'!F197:F252)*$D$15</f>
        <v>0</v>
      </c>
      <c r="H15" s="78">
        <f>SUM('16.Facility 5 Agri Input'!G197:G252)*$D$15</f>
        <v>0</v>
      </c>
      <c r="I15" s="78">
        <f>SUM('16.Facility 5 Agri Input'!H197:H252)*$D$15</f>
        <v>0</v>
      </c>
      <c r="J15" s="78">
        <f>SUM('16.Facility 5 Agri Input'!I197:I252)*$D$15</f>
        <v>0</v>
      </c>
      <c r="K15" s="78">
        <f>SUM('16.Facility 5 Agri Input'!J197:J252)*$D$15</f>
        <v>0</v>
      </c>
      <c r="L15" s="76"/>
      <c r="M15" s="76"/>
      <c r="N15" s="9"/>
      <c r="O15" s="9"/>
      <c r="P15" s="9"/>
      <c r="Q15" s="9"/>
      <c r="R15" s="9"/>
      <c r="U15" s="9"/>
      <c r="V15" s="9"/>
    </row>
    <row r="16" spans="3:22">
      <c r="C16" s="77" t="str">
        <f>C7</f>
        <v>Trading</v>
      </c>
      <c r="D16" s="248">
        <v>0.05</v>
      </c>
      <c r="E16" s="78">
        <f>SUM('12.Facility 1 - Trading'!D233:D284)*$D$16</f>
        <v>0</v>
      </c>
      <c r="F16" s="78">
        <f>SUM('12.Facility 1 - Trading'!E233:E284)*$D$16</f>
        <v>0</v>
      </c>
      <c r="G16" s="78">
        <f>SUM('12.Facility 1 - Trading'!F233:F284)*$D$16</f>
        <v>0</v>
      </c>
      <c r="H16" s="78">
        <f>SUM('12.Facility 1 - Trading'!G233:G284)*$D$16</f>
        <v>0</v>
      </c>
      <c r="I16" s="78">
        <f>SUM('12.Facility 1 - Trading'!H233:H284)*$D$16</f>
        <v>0</v>
      </c>
      <c r="J16" s="78">
        <f>SUM('12.Facility 1 - Trading'!I233:I284)*$D$16</f>
        <v>0</v>
      </c>
      <c r="K16" s="78">
        <f>SUM('12.Facility 1 - Trading'!J233:J284)*$D$16</f>
        <v>0</v>
      </c>
      <c r="L16" s="76"/>
      <c r="M16" s="76"/>
      <c r="N16" s="220" t="s">
        <v>374</v>
      </c>
      <c r="O16" s="224">
        <f>SUM(O8:O13)</f>
        <v>5180</v>
      </c>
      <c r="P16" s="224">
        <f>SUM(P8:P13)</f>
        <v>5780</v>
      </c>
      <c r="Q16" s="224">
        <f>SUM(Q8:Q13)</f>
        <v>5880</v>
      </c>
      <c r="R16" s="224">
        <f>SUM(R8:R13)</f>
        <v>6180</v>
      </c>
      <c r="U16" s="220" t="s">
        <v>1</v>
      </c>
      <c r="V16" s="224">
        <f>SUM(V8:V15)</f>
        <v>8397.5</v>
      </c>
    </row>
    <row r="17" spans="1:18">
      <c r="C17" s="77" t="str">
        <f>C8</f>
        <v xml:space="preserve">Grain Processing </v>
      </c>
      <c r="D17" s="248">
        <v>0.05</v>
      </c>
      <c r="E17" s="78">
        <f>SUM('13.Facility 2 Grain Processing'!D158:D168)*$D$17</f>
        <v>4796353.0196400005</v>
      </c>
      <c r="F17" s="78">
        <f>SUM('13.Facility 2 Grain Processing'!E158:E168)*$D$17</f>
        <v>5423568.4145160019</v>
      </c>
      <c r="G17" s="78">
        <f>SUM('13.Facility 2 Grain Processing'!F158:F168)*$D$17</f>
        <v>6101514.4663305022</v>
      </c>
      <c r="H17" s="78">
        <f>SUM('13.Facility 2 Grain Processing'!G158:G168)*$D$17</f>
        <v>6833696.2022901643</v>
      </c>
      <c r="I17" s="78">
        <f>SUM('13.Facility 2 Grain Processing'!H158:H168)*$D$17</f>
        <v>7623842.3256799644</v>
      </c>
      <c r="J17" s="78">
        <f>SUM('13.Facility 2 Grain Processing'!I158:I168)*$D$17</f>
        <v>8475918.8209030181</v>
      </c>
      <c r="K17" s="78">
        <f>SUM('13.Facility 2 Grain Processing'!J158:J168)*$D$17</f>
        <v>9394143.3598341774</v>
      </c>
      <c r="L17" s="76"/>
      <c r="M17" s="76"/>
    </row>
    <row r="18" spans="1:18">
      <c r="C18" s="77" t="s">
        <v>526</v>
      </c>
      <c r="D18" s="248">
        <v>0</v>
      </c>
      <c r="E18" s="78">
        <f>SUM('17.Facility 6 Horti Processing '!D163:D168)*$D$18</f>
        <v>0</v>
      </c>
      <c r="F18" s="78">
        <f>SUM('17.Facility 6 Horti Processing '!E163:E168)*$D$18</f>
        <v>0</v>
      </c>
      <c r="G18" s="78">
        <f>SUM('17.Facility 6 Horti Processing '!F163:F168)*$D$18</f>
        <v>0</v>
      </c>
      <c r="H18" s="78">
        <f>SUM('17.Facility 6 Horti Processing '!G163:G168)*$D$18</f>
        <v>0</v>
      </c>
      <c r="I18" s="78">
        <f>SUM('17.Facility 6 Horti Processing '!H163:H168)*$D$18</f>
        <v>0</v>
      </c>
      <c r="J18" s="78">
        <f>SUM('17.Facility 6 Horti Processing '!I163:I168)*$D$18</f>
        <v>0</v>
      </c>
      <c r="K18" s="78">
        <f>SUM('17.Facility 6 Horti Processing '!J163:J168)*$D$18</f>
        <v>0</v>
      </c>
      <c r="L18" s="76"/>
      <c r="M18" s="76"/>
    </row>
    <row r="19" spans="1:18">
      <c r="C19" s="77"/>
      <c r="D19" s="217"/>
      <c r="E19" s="78"/>
      <c r="F19" s="78"/>
      <c r="G19" s="78"/>
      <c r="H19" s="78"/>
      <c r="I19" s="78"/>
      <c r="J19" s="78"/>
      <c r="K19" s="78"/>
      <c r="L19" s="76"/>
      <c r="M19" s="76"/>
    </row>
    <row r="20" spans="1:18">
      <c r="C20" s="77"/>
      <c r="D20" s="77"/>
      <c r="E20" s="77"/>
      <c r="F20" s="78"/>
      <c r="G20" s="78"/>
      <c r="H20" s="78"/>
      <c r="I20" s="78"/>
      <c r="J20" s="78"/>
      <c r="K20" s="78"/>
      <c r="L20" s="76"/>
      <c r="M20" s="76"/>
    </row>
    <row r="21" spans="1:18">
      <c r="C21" s="77" t="s">
        <v>1</v>
      </c>
      <c r="D21" s="77"/>
      <c r="E21" s="174">
        <f t="shared" ref="E21:K21" si="7">SUM(E15:E20)</f>
        <v>4796353.0196400005</v>
      </c>
      <c r="F21" s="78">
        <f t="shared" si="7"/>
        <v>5423568.4145160019</v>
      </c>
      <c r="G21" s="78">
        <f t="shared" si="7"/>
        <v>6101514.4663305022</v>
      </c>
      <c r="H21" s="78">
        <f t="shared" si="7"/>
        <v>6833696.2022901643</v>
      </c>
      <c r="I21" s="78">
        <f t="shared" si="7"/>
        <v>7623842.3256799644</v>
      </c>
      <c r="J21" s="78">
        <f t="shared" si="7"/>
        <v>8475918.8209030181</v>
      </c>
      <c r="K21" s="78">
        <f t="shared" si="7"/>
        <v>9394143.3598341774</v>
      </c>
      <c r="L21" s="76"/>
      <c r="M21" s="76"/>
    </row>
    <row r="22" spans="1:18">
      <c r="C22" s="76"/>
      <c r="D22" s="76"/>
      <c r="E22" s="76"/>
      <c r="F22" s="76"/>
      <c r="G22" s="76"/>
      <c r="H22" s="76"/>
      <c r="I22" s="76"/>
      <c r="J22" s="76"/>
      <c r="K22" s="76"/>
      <c r="L22" s="76"/>
      <c r="M22" s="76"/>
    </row>
    <row r="23" spans="1:18" ht="41.1" customHeight="1">
      <c r="A23" s="368" t="s">
        <v>426</v>
      </c>
      <c r="B23" s="368"/>
      <c r="C23" s="368"/>
      <c r="D23" s="368"/>
      <c r="E23" s="368"/>
      <c r="F23" s="368"/>
      <c r="G23" s="368"/>
      <c r="H23" s="368"/>
      <c r="I23" s="368"/>
      <c r="J23" s="368"/>
      <c r="K23" s="368"/>
      <c r="L23" s="291"/>
      <c r="M23" s="291"/>
      <c r="N23" s="291"/>
      <c r="O23" s="256"/>
      <c r="P23" s="256"/>
      <c r="Q23" s="256"/>
      <c r="R23" s="256"/>
    </row>
    <row r="24" spans="1:18">
      <c r="A24" t="s">
        <v>542</v>
      </c>
    </row>
    <row r="25" spans="1:18">
      <c r="A25">
        <v>1</v>
      </c>
      <c r="B25" t="s">
        <v>545</v>
      </c>
    </row>
    <row r="28" spans="1:18" ht="18.75">
      <c r="B28" s="362" t="s">
        <v>568</v>
      </c>
      <c r="C28" s="362"/>
      <c r="D28" s="362"/>
      <c r="E28" s="362"/>
      <c r="F28" s="362"/>
      <c r="G28" s="362"/>
      <c r="H28" s="362"/>
      <c r="I28" s="362"/>
      <c r="J28" s="362"/>
      <c r="K28" s="362"/>
    </row>
    <row r="30" spans="1:18">
      <c r="B30" s="385" t="s">
        <v>146</v>
      </c>
      <c r="C30" s="385" t="s">
        <v>0</v>
      </c>
      <c r="D30" s="388" t="s">
        <v>370</v>
      </c>
      <c r="E30" s="390" t="s">
        <v>158</v>
      </c>
      <c r="F30" s="391"/>
      <c r="G30" s="391"/>
      <c r="H30" s="391"/>
      <c r="I30" s="391"/>
      <c r="J30" s="391"/>
      <c r="K30" s="391"/>
    </row>
    <row r="31" spans="1:18">
      <c r="B31" s="385"/>
      <c r="C31" s="385"/>
      <c r="D31" s="389"/>
      <c r="E31" s="184" t="s">
        <v>2</v>
      </c>
      <c r="F31" s="184" t="s">
        <v>3</v>
      </c>
      <c r="G31" s="184" t="s">
        <v>4</v>
      </c>
      <c r="H31" s="184" t="s">
        <v>5</v>
      </c>
      <c r="I31" s="184" t="s">
        <v>6</v>
      </c>
      <c r="J31" s="184" t="s">
        <v>169</v>
      </c>
      <c r="K31" s="184" t="s">
        <v>168</v>
      </c>
    </row>
    <row r="32" spans="1:18">
      <c r="B32" s="187"/>
      <c r="C32" s="188"/>
      <c r="D32" s="188"/>
      <c r="E32" s="189"/>
      <c r="F32" s="189"/>
      <c r="G32" s="189"/>
      <c r="H32" s="189"/>
      <c r="I32" s="189"/>
      <c r="J32" s="189"/>
      <c r="K32" s="189"/>
    </row>
    <row r="33" spans="2:11" ht="28.5">
      <c r="B33" s="190" t="s">
        <v>173</v>
      </c>
      <c r="C33" s="191" t="s">
        <v>349</v>
      </c>
      <c r="D33" s="204"/>
      <c r="E33" s="192"/>
      <c r="F33" s="192"/>
      <c r="G33" s="192"/>
      <c r="H33" s="192"/>
      <c r="I33" s="192"/>
      <c r="J33" s="192"/>
      <c r="K33" s="192"/>
    </row>
    <row r="34" spans="2:11">
      <c r="B34" s="244">
        <v>1</v>
      </c>
      <c r="C34" s="193" t="s">
        <v>372</v>
      </c>
      <c r="D34" s="204">
        <v>14</v>
      </c>
      <c r="E34" s="192">
        <f>('16.Facility 5 Agri Input'!D191/365)*$D$34</f>
        <v>0</v>
      </c>
      <c r="F34" s="192">
        <f>('16.Facility 5 Agri Input'!E191/365)*$D$34</f>
        <v>0</v>
      </c>
      <c r="G34" s="192">
        <f>('16.Facility 5 Agri Input'!F191/365)*$D$34</f>
        <v>0</v>
      </c>
      <c r="H34" s="192">
        <f>('16.Facility 5 Agri Input'!G191/365)*$D$34</f>
        <v>0</v>
      </c>
      <c r="I34" s="192">
        <f>('16.Facility 5 Agri Input'!H191/365)*$D$34</f>
        <v>0</v>
      </c>
      <c r="J34" s="192">
        <f>('16.Facility 5 Agri Input'!I191/365)*$D$34</f>
        <v>0</v>
      </c>
      <c r="K34" s="192">
        <f>('16.Facility 5 Agri Input'!J191/365)*$D$34</f>
        <v>0</v>
      </c>
    </row>
    <row r="35" spans="2:11">
      <c r="B35" s="244">
        <v>2</v>
      </c>
      <c r="C35" s="193" t="s">
        <v>367</v>
      </c>
      <c r="D35" s="204">
        <v>14</v>
      </c>
      <c r="E35" s="192">
        <f>('15. Facility 4 Custom Hiring'!E39/365)*$D$35</f>
        <v>0</v>
      </c>
      <c r="F35" s="192">
        <f>('15. Facility 4 Custom Hiring'!F39/365)*$D$35</f>
        <v>0</v>
      </c>
      <c r="G35" s="192">
        <f>('15. Facility 4 Custom Hiring'!G39/365)*$D$35</f>
        <v>0</v>
      </c>
      <c r="H35" s="192">
        <f>('15. Facility 4 Custom Hiring'!H39/365)*$D$35</f>
        <v>0</v>
      </c>
      <c r="I35" s="192">
        <f>('15. Facility 4 Custom Hiring'!I39/365)*$D$35</f>
        <v>0</v>
      </c>
      <c r="J35" s="192">
        <f>('15. Facility 4 Custom Hiring'!J39/365)*$D$35</f>
        <v>0</v>
      </c>
      <c r="K35" s="192">
        <f>('15. Facility 4 Custom Hiring'!K39/365)*$D$35</f>
        <v>0</v>
      </c>
    </row>
    <row r="36" spans="2:11">
      <c r="B36" s="244">
        <v>3</v>
      </c>
      <c r="C36" s="193" t="s">
        <v>368</v>
      </c>
      <c r="D36" s="204">
        <v>14</v>
      </c>
      <c r="E36" s="192">
        <f>('12.Facility 1 - Trading'!D229/365)*$D$36</f>
        <v>0</v>
      </c>
      <c r="F36" s="192">
        <f>('12.Facility 1 - Trading'!E229/365)*$D$36</f>
        <v>0</v>
      </c>
      <c r="G36" s="192">
        <f>('12.Facility 1 - Trading'!F229/365)*$D$36</f>
        <v>0</v>
      </c>
      <c r="H36" s="192">
        <f>('12.Facility 1 - Trading'!G229/365)*$D$36</f>
        <v>0</v>
      </c>
      <c r="I36" s="192">
        <f>('12.Facility 1 - Trading'!H229/365)*$D$36</f>
        <v>0</v>
      </c>
      <c r="J36" s="192">
        <f>('12.Facility 1 - Trading'!I229/365)*$D$36</f>
        <v>0</v>
      </c>
      <c r="K36" s="192">
        <f>('12.Facility 1 - Trading'!J229/365)*$D$36</f>
        <v>0</v>
      </c>
    </row>
    <row r="37" spans="2:11">
      <c r="B37" s="244">
        <v>4</v>
      </c>
      <c r="C37" s="193" t="s">
        <v>141</v>
      </c>
      <c r="D37" s="204">
        <v>14</v>
      </c>
      <c r="E37" s="192">
        <f>('13.Facility 2 Grain Processing'!D154/365)*$D$37</f>
        <v>3841319.7851870689</v>
      </c>
      <c r="F37" s="192">
        <f>('13.Facility 2 Grain Processing'!E154/365)*$D$37</f>
        <v>4547910.1312235845</v>
      </c>
      <c r="G37" s="192">
        <f>('13.Facility 2 Grain Processing'!F154/365)*$D$37</f>
        <v>5117577.3432760844</v>
      </c>
      <c r="H37" s="192">
        <f>('13.Facility 2 Grain Processing'!G154/365)*$D$37</f>
        <v>5732841.5012057768</v>
      </c>
      <c r="I37" s="192">
        <f>('13.Facility 2 Grain Processing'!H154/365)*$D$37</f>
        <v>6396838.1315702479</v>
      </c>
      <c r="J37" s="192">
        <f>('13.Facility 2 Grain Processing'!I154/365)*$D$37</f>
        <v>7112902.3212181497</v>
      </c>
      <c r="K37" s="192">
        <f>('13.Facility 2 Grain Processing'!J154/365)*$D$37</f>
        <v>7884580.8345019175</v>
      </c>
    </row>
    <row r="38" spans="2:11">
      <c r="B38" s="244">
        <v>5</v>
      </c>
      <c r="C38" s="193" t="s">
        <v>300</v>
      </c>
      <c r="D38" s="204">
        <v>14</v>
      </c>
      <c r="E38" s="192">
        <f>('14. Facility 3 Warehouse'!D23/365)*$D$38</f>
        <v>16109.589041095891</v>
      </c>
      <c r="F38" s="192">
        <f>('14. Facility 3 Warehouse'!E23/365)*$D$38</f>
        <v>18123.287671232876</v>
      </c>
      <c r="G38" s="192">
        <f>('14. Facility 3 Warehouse'!F23/365)*$D$38</f>
        <v>20298.082191780821</v>
      </c>
      <c r="H38" s="192">
        <f>('14. Facility 3 Warehouse'!G23/365)*$D$38</f>
        <v>22645.04794520549</v>
      </c>
      <c r="I38" s="192">
        <f>('14. Facility 3 Warehouse'!H23/365)*$D$38</f>
        <v>25175.965068493158</v>
      </c>
      <c r="J38" s="192">
        <f>('14. Facility 3 Warehouse'!I23/365)*$D$38</f>
        <v>26434.763321917817</v>
      </c>
      <c r="K38" s="192">
        <f>('14. Facility 3 Warehouse'!J23/365)*$D$38</f>
        <v>27756.501488013713</v>
      </c>
    </row>
    <row r="39" spans="2:11" ht="30">
      <c r="B39" s="244">
        <v>6</v>
      </c>
      <c r="C39" s="193" t="s">
        <v>538</v>
      </c>
      <c r="D39" s="204">
        <v>14</v>
      </c>
      <c r="E39" s="192">
        <f>('17.Facility 6 Horti Processing '!D159/365)*$D$39</f>
        <v>0</v>
      </c>
      <c r="F39" s="192">
        <f>('17.Facility 6 Horti Processing '!E159/365)*$D$39</f>
        <v>0</v>
      </c>
      <c r="G39" s="192">
        <f>('17.Facility 6 Horti Processing '!F159/365)*$D$39</f>
        <v>0</v>
      </c>
      <c r="H39" s="192">
        <f>('17.Facility 6 Horti Processing '!G159/365)*$D$39</f>
        <v>0</v>
      </c>
      <c r="I39" s="192">
        <f>('17.Facility 6 Horti Processing '!H159/365)*$D$39</f>
        <v>0</v>
      </c>
      <c r="J39" s="192">
        <f>('17.Facility 6 Horti Processing '!I159/365)*$D$39</f>
        <v>0</v>
      </c>
      <c r="K39" s="192">
        <f>('17.Facility 6 Horti Processing '!J159/365)*$D$39</f>
        <v>0</v>
      </c>
    </row>
    <row r="40" spans="2:11">
      <c r="B40" s="244"/>
      <c r="C40" s="193"/>
      <c r="D40" s="204"/>
      <c r="E40" s="192"/>
      <c r="F40" s="192"/>
      <c r="G40" s="192"/>
      <c r="H40" s="192"/>
      <c r="I40" s="192"/>
      <c r="J40" s="192"/>
      <c r="K40" s="192"/>
    </row>
    <row r="41" spans="2:11">
      <c r="B41" s="190"/>
      <c r="C41" s="191" t="s">
        <v>171</v>
      </c>
      <c r="D41" s="204"/>
      <c r="E41" s="192">
        <f>SUM(E34:E40)</f>
        <v>3857429.3742281646</v>
      </c>
      <c r="F41" s="192">
        <f t="shared" ref="F41:K41" si="8">SUM(F34:F40)</f>
        <v>4566033.4188948171</v>
      </c>
      <c r="G41" s="192">
        <f t="shared" si="8"/>
        <v>5137875.4254678655</v>
      </c>
      <c r="H41" s="192">
        <f t="shared" si="8"/>
        <v>5755486.5491509819</v>
      </c>
      <c r="I41" s="192">
        <f t="shared" si="8"/>
        <v>6422014.096638741</v>
      </c>
      <c r="J41" s="192">
        <f t="shared" si="8"/>
        <v>7139337.0845400672</v>
      </c>
      <c r="K41" s="192">
        <f t="shared" si="8"/>
        <v>7912337.3359899316</v>
      </c>
    </row>
    <row r="42" spans="2:11">
      <c r="B42" s="190" t="s">
        <v>174</v>
      </c>
      <c r="C42" s="191" t="s">
        <v>348</v>
      </c>
      <c r="D42" s="204"/>
      <c r="E42" s="192">
        <f>'5.Closing Stock &amp; W Capital'!E21</f>
        <v>4796353.0196400005</v>
      </c>
      <c r="F42" s="192">
        <f>'5.Closing Stock &amp; W Capital'!F21</f>
        <v>5423568.4145160019</v>
      </c>
      <c r="G42" s="192">
        <f>'5.Closing Stock &amp; W Capital'!G21</f>
        <v>6101514.4663305022</v>
      </c>
      <c r="H42" s="192">
        <f>'5.Closing Stock &amp; W Capital'!H21</f>
        <v>6833696.2022901643</v>
      </c>
      <c r="I42" s="192">
        <f>'5.Closing Stock &amp; W Capital'!I21</f>
        <v>7623842.3256799644</v>
      </c>
      <c r="J42" s="192">
        <f>'5.Closing Stock &amp; W Capital'!J21</f>
        <v>8475918.8209030181</v>
      </c>
      <c r="K42" s="192">
        <f>'5.Closing Stock &amp; W Capital'!K21</f>
        <v>9394143.3598341774</v>
      </c>
    </row>
    <row r="43" spans="2:11">
      <c r="B43" s="190"/>
      <c r="C43" s="193"/>
      <c r="D43" s="204"/>
      <c r="E43" s="192"/>
      <c r="F43" s="192"/>
      <c r="G43" s="192"/>
      <c r="H43" s="192"/>
      <c r="I43" s="192"/>
      <c r="J43" s="192"/>
      <c r="K43" s="192"/>
    </row>
    <row r="44" spans="2:11">
      <c r="B44" s="386" t="s">
        <v>1</v>
      </c>
      <c r="C44" s="387"/>
      <c r="D44" s="216"/>
      <c r="E44" s="194">
        <f>SUM(E41:E42)</f>
        <v>8653782.3938681651</v>
      </c>
      <c r="F44" s="194">
        <f t="shared" ref="F44:K44" si="9">SUM(F41:F42)</f>
        <v>9989601.8334108181</v>
      </c>
      <c r="G44" s="194">
        <f t="shared" si="9"/>
        <v>11239389.891798368</v>
      </c>
      <c r="H44" s="194">
        <f t="shared" si="9"/>
        <v>12589182.751441147</v>
      </c>
      <c r="I44" s="194">
        <f t="shared" si="9"/>
        <v>14045856.422318704</v>
      </c>
      <c r="J44" s="194">
        <f t="shared" si="9"/>
        <v>15615255.905443085</v>
      </c>
      <c r="K44" s="194">
        <f t="shared" si="9"/>
        <v>17306480.695824109</v>
      </c>
    </row>
    <row r="45" spans="2:11">
      <c r="B45" s="190"/>
      <c r="C45" s="191"/>
      <c r="D45" s="204"/>
      <c r="E45" s="192"/>
      <c r="F45" s="192"/>
      <c r="G45" s="192"/>
      <c r="H45" s="192"/>
      <c r="I45" s="192"/>
      <c r="J45" s="192"/>
      <c r="K45" s="192"/>
    </row>
    <row r="46" spans="2:11" ht="34.5" customHeight="1">
      <c r="B46" s="190" t="s">
        <v>175</v>
      </c>
      <c r="C46" s="193" t="s">
        <v>350</v>
      </c>
      <c r="D46" s="204"/>
      <c r="E46" s="192"/>
      <c r="F46" s="192"/>
      <c r="G46" s="192"/>
      <c r="H46" s="192"/>
      <c r="I46" s="192"/>
      <c r="J46" s="192"/>
      <c r="K46" s="192"/>
    </row>
    <row r="47" spans="2:11">
      <c r="B47" s="244">
        <v>1</v>
      </c>
      <c r="C47" s="193" t="str">
        <f t="shared" ref="C47:C52" si="10">C34</f>
        <v>Agri Input</v>
      </c>
      <c r="D47" s="204">
        <v>7</v>
      </c>
      <c r="E47" s="192">
        <f>('16.Facility 5 Agri Input'!D262/365)*$D$47</f>
        <v>0</v>
      </c>
      <c r="F47" s="192">
        <f>('16.Facility 5 Agri Input'!E262/365)*$D$47</f>
        <v>0</v>
      </c>
      <c r="G47" s="192">
        <f>('16.Facility 5 Agri Input'!F262/365)*$D$47</f>
        <v>0</v>
      </c>
      <c r="H47" s="192">
        <f>('16.Facility 5 Agri Input'!G262/365)*$D$47</f>
        <v>0</v>
      </c>
      <c r="I47" s="192">
        <f>('16.Facility 5 Agri Input'!H262/365)*$D$47</f>
        <v>0</v>
      </c>
      <c r="J47" s="192">
        <f>('16.Facility 5 Agri Input'!I262/365)*$D$47</f>
        <v>0</v>
      </c>
      <c r="K47" s="192">
        <f>('16.Facility 5 Agri Input'!J262/365)*$D$47</f>
        <v>0</v>
      </c>
    </row>
    <row r="48" spans="2:11">
      <c r="B48" s="244">
        <v>2</v>
      </c>
      <c r="C48" s="193" t="str">
        <f t="shared" si="10"/>
        <v>Custom Hiring</v>
      </c>
      <c r="D48" s="204">
        <v>7</v>
      </c>
      <c r="E48" s="192">
        <f>('15. Facility 4 Custom Hiring'!E49/365)*$D$49</f>
        <v>0</v>
      </c>
      <c r="F48" s="192">
        <f>('15. Facility 4 Custom Hiring'!F49/365)*$D$49</f>
        <v>0</v>
      </c>
      <c r="G48" s="192">
        <f>('15. Facility 4 Custom Hiring'!G49/365)*$D$49</f>
        <v>0</v>
      </c>
      <c r="H48" s="192">
        <f>('15. Facility 4 Custom Hiring'!H49/365)*$D$49</f>
        <v>0</v>
      </c>
      <c r="I48" s="192">
        <f>('15. Facility 4 Custom Hiring'!I49/365)*$D$49</f>
        <v>0</v>
      </c>
      <c r="J48" s="192">
        <f>('15. Facility 4 Custom Hiring'!J49/365)*$D$49</f>
        <v>0</v>
      </c>
      <c r="K48" s="192">
        <f>('15. Facility 4 Custom Hiring'!K49/365)*$D$49</f>
        <v>0</v>
      </c>
    </row>
    <row r="49" spans="1:12">
      <c r="B49" s="244">
        <v>3</v>
      </c>
      <c r="C49" s="193" t="str">
        <f t="shared" si="10"/>
        <v>Cleaning &amp; Grading</v>
      </c>
      <c r="D49" s="204">
        <v>7</v>
      </c>
      <c r="E49" s="192">
        <f>('12.Facility 1 - Trading'!D292/365)*$D$49</f>
        <v>0</v>
      </c>
      <c r="F49" s="192">
        <f>('12.Facility 1 - Trading'!E292/365)*$D$49</f>
        <v>0</v>
      </c>
      <c r="G49" s="192">
        <f>('12.Facility 1 - Trading'!F292/365)*$D$49</f>
        <v>0</v>
      </c>
      <c r="H49" s="192">
        <f>('12.Facility 1 - Trading'!G292/365)*$D$49</f>
        <v>0</v>
      </c>
      <c r="I49" s="192">
        <f>('12.Facility 1 - Trading'!H292/365)*$D$49</f>
        <v>0</v>
      </c>
      <c r="J49" s="192">
        <f>('12.Facility 1 - Trading'!I292/365)*$D$49</f>
        <v>0</v>
      </c>
      <c r="K49" s="192">
        <f>('12.Facility 1 - Trading'!J292/365)*$D$49</f>
        <v>0</v>
      </c>
    </row>
    <row r="50" spans="1:12">
      <c r="B50" s="244">
        <v>4</v>
      </c>
      <c r="C50" s="193" t="str">
        <f t="shared" si="10"/>
        <v>Dal Mill</v>
      </c>
      <c r="D50" s="204">
        <v>7</v>
      </c>
      <c r="E50" s="192">
        <f>('13.Facility 2 Grain Processing'!D177/365)*$D$50</f>
        <v>1764151.3760156715</v>
      </c>
      <c r="F50" s="192">
        <f>('13.Facility 2 Grain Processing'!E177/365)*$D$50</f>
        <v>2086832.9468491734</v>
      </c>
      <c r="G50" s="192">
        <f>('13.Facility 2 Grain Processing'!F177/365)*$D$50</f>
        <v>2348217.7470462709</v>
      </c>
      <c r="H50" s="192">
        <f>('13.Facility 2 Grain Processing'!G177/365)*$D$50</f>
        <v>2630523.9448959548</v>
      </c>
      <c r="I50" s="192">
        <f>('13.Facility 2 Grain Processing'!H177/365)*$D$50</f>
        <v>2935190.218162993</v>
      </c>
      <c r="J50" s="192">
        <f>('13.Facility 2 Grain Processing'!I177/365)*$D$50</f>
        <v>3263746.8088944927</v>
      </c>
      <c r="K50" s="192">
        <f>('13.Facility 2 Grain Processing'!J177/365)*$D$50</f>
        <v>3617821.0831537358</v>
      </c>
    </row>
    <row r="51" spans="1:12">
      <c r="B51" s="244">
        <v>5</v>
      </c>
      <c r="C51" s="193" t="str">
        <f t="shared" si="10"/>
        <v>Warehouse</v>
      </c>
      <c r="D51" s="204">
        <v>7</v>
      </c>
      <c r="E51" s="192">
        <f>('14. Facility 3 Warehouse'!D34/365)*$D$51</f>
        <v>1534.2465753424658</v>
      </c>
      <c r="F51" s="192">
        <f>('14. Facility 3 Warehouse'!E34/365)*$D$51</f>
        <v>1610.958904109589</v>
      </c>
      <c r="G51" s="192">
        <f>('14. Facility 3 Warehouse'!F34/365)*$D$51</f>
        <v>1691.5068493150686</v>
      </c>
      <c r="H51" s="192">
        <f>('14. Facility 3 Warehouse'!G34/365)*$D$51</f>
        <v>1776.0821917808221</v>
      </c>
      <c r="I51" s="192">
        <f>('14. Facility 3 Warehouse'!H34/365)*$D$51</f>
        <v>1864.8863013698633</v>
      </c>
      <c r="J51" s="192">
        <f>('14. Facility 3 Warehouse'!I34/365)*$D$51</f>
        <v>1958.1306164383564</v>
      </c>
      <c r="K51" s="192">
        <f>('14. Facility 3 Warehouse'!J34/365)*$D$51</f>
        <v>2056.0371472602747</v>
      </c>
    </row>
    <row r="52" spans="1:12" ht="30">
      <c r="B52" s="244"/>
      <c r="C52" s="193" t="str">
        <f t="shared" si="10"/>
        <v>Processing Unit - Horti Commodity</v>
      </c>
      <c r="D52" s="204">
        <v>7</v>
      </c>
      <c r="E52" s="192">
        <f>('17.Facility 6 Horti Processing '!D177/365)*$D$52</f>
        <v>0</v>
      </c>
      <c r="F52" s="192">
        <f>('17.Facility 6 Horti Processing '!E177/365)*$D$52</f>
        <v>0</v>
      </c>
      <c r="G52" s="192">
        <f>('17.Facility 6 Horti Processing '!F177/365)*$D$52</f>
        <v>0</v>
      </c>
      <c r="H52" s="192">
        <f>('17.Facility 6 Horti Processing '!G177/365)*$D$52</f>
        <v>0</v>
      </c>
      <c r="I52" s="192">
        <f>('17.Facility 6 Horti Processing '!H177/365)*$D$52</f>
        <v>0</v>
      </c>
      <c r="J52" s="192">
        <f>('17.Facility 6 Horti Processing '!I177/365)*$D$52</f>
        <v>0</v>
      </c>
      <c r="K52" s="192">
        <f>('17.Facility 6 Horti Processing '!J177/365)*$D$52</f>
        <v>0</v>
      </c>
    </row>
    <row r="53" spans="1:12">
      <c r="B53" s="244"/>
      <c r="C53" s="193"/>
      <c r="D53" s="204"/>
      <c r="E53" s="192"/>
      <c r="F53" s="192"/>
      <c r="G53" s="192"/>
      <c r="H53" s="192"/>
      <c r="I53" s="192"/>
      <c r="J53" s="192"/>
      <c r="K53" s="192"/>
    </row>
    <row r="54" spans="1:12">
      <c r="B54" s="185"/>
      <c r="C54" s="191" t="s">
        <v>1</v>
      </c>
      <c r="D54" s="204"/>
      <c r="E54" s="194">
        <f>SUM(E47:E53)</f>
        <v>1765685.622591014</v>
      </c>
      <c r="F54" s="194">
        <f t="shared" ref="F54:K54" si="11">SUM(F47:F53)</f>
        <v>2088443.9057532831</v>
      </c>
      <c r="G54" s="194">
        <f t="shared" si="11"/>
        <v>2349909.2538955859</v>
      </c>
      <c r="H54" s="194">
        <f t="shared" si="11"/>
        <v>2632300.0270877355</v>
      </c>
      <c r="I54" s="194">
        <f t="shared" si="11"/>
        <v>2937055.1044643628</v>
      </c>
      <c r="J54" s="194">
        <f t="shared" si="11"/>
        <v>3265704.9395109313</v>
      </c>
      <c r="K54" s="194">
        <f t="shared" si="11"/>
        <v>3619877.1203009961</v>
      </c>
    </row>
    <row r="55" spans="1:12">
      <c r="B55" s="190" t="s">
        <v>176</v>
      </c>
      <c r="C55" s="191" t="s">
        <v>156</v>
      </c>
      <c r="D55" s="204"/>
      <c r="E55" s="194">
        <f>E44-E54</f>
        <v>6888096.7712771511</v>
      </c>
      <c r="F55" s="194">
        <f t="shared" ref="F55:K55" si="12">F44-F54</f>
        <v>7901157.9276575353</v>
      </c>
      <c r="G55" s="194">
        <f t="shared" si="12"/>
        <v>8889480.6379027814</v>
      </c>
      <c r="H55" s="194">
        <f t="shared" si="12"/>
        <v>9956882.7243534122</v>
      </c>
      <c r="I55" s="194">
        <f t="shared" si="12"/>
        <v>11108801.317854341</v>
      </c>
      <c r="J55" s="194">
        <f t="shared" si="12"/>
        <v>12349550.965932153</v>
      </c>
      <c r="K55" s="194">
        <f t="shared" si="12"/>
        <v>13686603.575523112</v>
      </c>
    </row>
    <row r="56" spans="1:12">
      <c r="B56" s="190"/>
      <c r="C56" s="191" t="s">
        <v>135</v>
      </c>
      <c r="D56" s="252">
        <v>0.25</v>
      </c>
      <c r="E56" s="194">
        <f>E55*$D$56</f>
        <v>1722024.1928192878</v>
      </c>
      <c r="F56" s="194"/>
      <c r="G56" s="194"/>
      <c r="H56" s="194"/>
      <c r="I56" s="194"/>
      <c r="J56" s="194"/>
      <c r="K56" s="194"/>
    </row>
    <row r="58" spans="1:12">
      <c r="E58" s="22"/>
    </row>
    <row r="59" spans="1:12" ht="36.950000000000003" customHeight="1">
      <c r="A59" s="383" t="s">
        <v>421</v>
      </c>
      <c r="B59" s="384"/>
      <c r="C59" s="384"/>
      <c r="D59" s="384"/>
      <c r="E59" s="384"/>
      <c r="F59" s="384"/>
      <c r="G59" s="384"/>
      <c r="H59" s="384"/>
      <c r="I59" s="384"/>
      <c r="J59" s="384"/>
      <c r="K59" s="384"/>
      <c r="L59" s="384"/>
    </row>
    <row r="60" spans="1:12">
      <c r="A60" t="s">
        <v>546</v>
      </c>
    </row>
    <row r="61" spans="1:12">
      <c r="A61">
        <v>1</v>
      </c>
      <c r="B61" t="s">
        <v>547</v>
      </c>
    </row>
    <row r="62" spans="1:12">
      <c r="A62">
        <v>2</v>
      </c>
      <c r="B62" t="s">
        <v>548</v>
      </c>
    </row>
    <row r="63" spans="1:12">
      <c r="A63">
        <v>3</v>
      </c>
      <c r="B63" t="s">
        <v>549</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50"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topLeftCell="A34" zoomScale="80" zoomScaleSheetLayoutView="80" workbookViewId="0">
      <selection activeCell="J20" sqref="J20"/>
    </sheetView>
  </sheetViews>
  <sheetFormatPr defaultRowHeight="15"/>
  <cols>
    <col min="1" max="1" width="40.5703125" bestFit="1" customWidth="1"/>
    <col min="2" max="2" width="14" customWidth="1"/>
    <col min="3" max="3" width="14.42578125" customWidth="1"/>
    <col min="4" max="4" width="14.7109375" customWidth="1"/>
    <col min="5" max="5" width="15.7109375" customWidth="1"/>
    <col min="6" max="6" width="15.42578125" customWidth="1"/>
    <col min="7" max="8" width="16.28515625" customWidth="1"/>
    <col min="9" max="9" width="8.5703125" customWidth="1"/>
    <col min="10" max="10" width="10.140625" bestFit="1" customWidth="1"/>
    <col min="11" max="11" width="9.5703125" bestFit="1" customWidth="1"/>
  </cols>
  <sheetData>
    <row r="2" spans="1:10" ht="18.75">
      <c r="A2" s="362" t="s">
        <v>569</v>
      </c>
      <c r="B2" s="362"/>
      <c r="C2" s="362"/>
      <c r="D2" s="362"/>
      <c r="E2" s="362"/>
      <c r="F2" s="362"/>
      <c r="G2" s="362"/>
      <c r="H2" s="362"/>
    </row>
    <row r="4" spans="1:10">
      <c r="B4" s="4"/>
      <c r="C4" s="4"/>
      <c r="D4" s="4"/>
      <c r="E4" s="4"/>
      <c r="F4" s="4"/>
    </row>
    <row r="5" spans="1:10">
      <c r="A5" s="128" t="s">
        <v>0</v>
      </c>
      <c r="B5" s="100" t="s">
        <v>2</v>
      </c>
      <c r="C5" s="100" t="s">
        <v>3</v>
      </c>
      <c r="D5" s="100" t="s">
        <v>4</v>
      </c>
      <c r="E5" s="100" t="s">
        <v>5</v>
      </c>
      <c r="F5" s="100" t="s">
        <v>6</v>
      </c>
      <c r="G5" s="100" t="s">
        <v>169</v>
      </c>
      <c r="H5" s="100" t="s">
        <v>168</v>
      </c>
    </row>
    <row r="6" spans="1:10">
      <c r="A6" s="79" t="s">
        <v>127</v>
      </c>
      <c r="B6" s="77"/>
      <c r="C6" s="77"/>
      <c r="D6" s="77"/>
      <c r="E6" s="77"/>
      <c r="F6" s="77"/>
      <c r="G6" s="77"/>
      <c r="H6" s="77"/>
    </row>
    <row r="7" spans="1:10">
      <c r="A7" s="77"/>
      <c r="B7" s="77"/>
      <c r="C7" s="77"/>
      <c r="D7" s="77"/>
      <c r="E7" s="77"/>
      <c r="F7" s="77"/>
      <c r="G7" s="77"/>
      <c r="H7" s="77"/>
    </row>
    <row r="8" spans="1:10">
      <c r="A8" s="77" t="s">
        <v>697</v>
      </c>
      <c r="B8" s="78"/>
      <c r="C8" s="78"/>
      <c r="D8" s="78"/>
      <c r="E8" s="78"/>
      <c r="F8" s="78"/>
      <c r="G8" s="78"/>
      <c r="H8" s="78"/>
    </row>
    <row r="9" spans="1:10">
      <c r="A9" s="89" t="s">
        <v>720</v>
      </c>
      <c r="B9" s="78">
        <f>'13.Facility 2 Grain Processing'!D154</f>
        <v>100148694.39952001</v>
      </c>
      <c r="C9" s="78">
        <f>'13.Facility 2 Grain Processing'!E154</f>
        <v>118570514.13547203</v>
      </c>
      <c r="D9" s="78">
        <f>'13.Facility 2 Grain Processing'!F154</f>
        <v>133422552.16398363</v>
      </c>
      <c r="E9" s="78">
        <f>'13.Facility 2 Grain Processing'!G154</f>
        <v>149463367.71000776</v>
      </c>
      <c r="F9" s="78">
        <f>'13.Facility 2 Grain Processing'!H154</f>
        <v>166774708.43022433</v>
      </c>
      <c r="G9" s="78">
        <f>'13.Facility 2 Grain Processing'!I154</f>
        <v>185443524.80318749</v>
      </c>
      <c r="H9" s="78">
        <f>'13.Facility 2 Grain Processing'!J154</f>
        <v>205562286.04237142</v>
      </c>
    </row>
    <row r="10" spans="1:10">
      <c r="A10" s="77" t="s">
        <v>515</v>
      </c>
      <c r="B10" s="78">
        <f>'14. Facility 3 Warehouse'!D23</f>
        <v>420000</v>
      </c>
      <c r="C10" s="78">
        <f>'14. Facility 3 Warehouse'!E23</f>
        <v>472500</v>
      </c>
      <c r="D10" s="78">
        <f>'14. Facility 3 Warehouse'!F23</f>
        <v>529200</v>
      </c>
      <c r="E10" s="78">
        <f>'14. Facility 3 Warehouse'!G23</f>
        <v>590388.75000000023</v>
      </c>
      <c r="F10" s="78">
        <f>'14. Facility 3 Warehouse'!H23</f>
        <v>656373.37500000023</v>
      </c>
      <c r="G10" s="78">
        <f>'14. Facility 3 Warehouse'!I23</f>
        <v>689192.0437500003</v>
      </c>
      <c r="H10" s="78">
        <f>'14. Facility 3 Warehouse'!J23</f>
        <v>723651.64593750041</v>
      </c>
    </row>
    <row r="11" spans="1:10">
      <c r="A11" s="77" t="s">
        <v>516</v>
      </c>
      <c r="B11" s="78">
        <f>'15. Facility 4 Custom Hiring'!E39</f>
        <v>0</v>
      </c>
      <c r="C11" s="78">
        <f>'15. Facility 4 Custom Hiring'!F39</f>
        <v>0</v>
      </c>
      <c r="D11" s="78">
        <f>'15. Facility 4 Custom Hiring'!G39</f>
        <v>0</v>
      </c>
      <c r="E11" s="78">
        <f>'15. Facility 4 Custom Hiring'!H39</f>
        <v>0</v>
      </c>
      <c r="F11" s="78">
        <f>'15. Facility 4 Custom Hiring'!I39</f>
        <v>0</v>
      </c>
      <c r="G11" s="78">
        <f>'15. Facility 4 Custom Hiring'!J39</f>
        <v>0</v>
      </c>
      <c r="H11" s="78">
        <f>'15. Facility 4 Custom Hiring'!K39</f>
        <v>0</v>
      </c>
    </row>
    <row r="12" spans="1:10">
      <c r="A12" s="77" t="s">
        <v>514</v>
      </c>
      <c r="B12" s="78">
        <f>'16.Facility 5 Agri Input'!D191</f>
        <v>0</v>
      </c>
      <c r="C12" s="78">
        <f>'16.Facility 5 Agri Input'!E191</f>
        <v>0</v>
      </c>
      <c r="D12" s="78">
        <f>'16.Facility 5 Agri Input'!F191</f>
        <v>0</v>
      </c>
      <c r="E12" s="78">
        <f>'16.Facility 5 Agri Input'!G191</f>
        <v>0</v>
      </c>
      <c r="F12" s="78">
        <f>'16.Facility 5 Agri Input'!H191</f>
        <v>0</v>
      </c>
      <c r="G12" s="78">
        <f>'16.Facility 5 Agri Input'!I191</f>
        <v>0</v>
      </c>
      <c r="H12" s="78">
        <f>'16.Facility 5 Agri Input'!J191</f>
        <v>0</v>
      </c>
    </row>
    <row r="13" spans="1:10">
      <c r="A13" s="77" t="s">
        <v>537</v>
      </c>
      <c r="B13" s="78">
        <f>'17.Facility 6 Horti Processing '!D159</f>
        <v>0</v>
      </c>
      <c r="C13" s="78">
        <f>'17.Facility 6 Horti Processing '!E159</f>
        <v>0</v>
      </c>
      <c r="D13" s="78">
        <f>'17.Facility 6 Horti Processing '!F159</f>
        <v>0</v>
      </c>
      <c r="E13" s="78">
        <f>'17.Facility 6 Horti Processing '!G159</f>
        <v>0</v>
      </c>
      <c r="F13" s="78">
        <f>'17.Facility 6 Horti Processing '!H159</f>
        <v>0</v>
      </c>
      <c r="G13" s="78">
        <f>'17.Facility 6 Horti Processing '!I159</f>
        <v>0</v>
      </c>
      <c r="H13" s="78">
        <f>'17.Facility 6 Horti Processing '!J159</f>
        <v>0</v>
      </c>
    </row>
    <row r="14" spans="1:10">
      <c r="A14" s="77"/>
      <c r="B14" s="78"/>
      <c r="C14" s="78"/>
      <c r="D14" s="78"/>
      <c r="E14" s="78"/>
      <c r="F14" s="78"/>
      <c r="G14" s="78"/>
      <c r="H14" s="78"/>
    </row>
    <row r="15" spans="1:10">
      <c r="A15" s="79" t="s">
        <v>144</v>
      </c>
      <c r="B15" s="95">
        <f>SUM(B8:B14)</f>
        <v>100568694.39952001</v>
      </c>
      <c r="C15" s="95">
        <f t="shared" ref="C15:H15" si="0">SUM(C8:C14)</f>
        <v>119043014.13547203</v>
      </c>
      <c r="D15" s="95">
        <f t="shared" si="0"/>
        <v>133951752.16398363</v>
      </c>
      <c r="E15" s="95">
        <f t="shared" si="0"/>
        <v>150053756.46000776</v>
      </c>
      <c r="F15" s="95">
        <f t="shared" si="0"/>
        <v>167431081.80522433</v>
      </c>
      <c r="G15" s="95">
        <f t="shared" si="0"/>
        <v>186132716.84693748</v>
      </c>
      <c r="H15" s="95">
        <f t="shared" si="0"/>
        <v>206285937.68830892</v>
      </c>
      <c r="J15" s="336">
        <f>H15/100000</f>
        <v>2062.8593768830892</v>
      </c>
    </row>
    <row r="16" spans="1:10">
      <c r="A16" s="77"/>
      <c r="B16" s="78"/>
      <c r="C16" s="78"/>
      <c r="D16" s="78"/>
      <c r="E16" s="78"/>
      <c r="F16" s="78"/>
      <c r="G16" s="78"/>
      <c r="H16" s="78"/>
    </row>
    <row r="17" spans="1:10">
      <c r="A17" s="79" t="s">
        <v>312</v>
      </c>
      <c r="B17" s="78"/>
      <c r="C17" s="78"/>
      <c r="D17" s="78"/>
      <c r="E17" s="78"/>
      <c r="F17" s="78"/>
      <c r="G17" s="78"/>
      <c r="H17" s="78"/>
    </row>
    <row r="18" spans="1:10">
      <c r="A18" s="77" t="str">
        <f t="shared" ref="A18:A23" si="1">A8</f>
        <v>Faclitiy 1 - Trading</v>
      </c>
      <c r="B18" s="78"/>
      <c r="C18" s="78"/>
      <c r="D18" s="78"/>
      <c r="E18" s="78"/>
      <c r="F18" s="78"/>
      <c r="G18" s="78"/>
      <c r="H18" s="78"/>
    </row>
    <row r="19" spans="1:10">
      <c r="A19" s="77" t="str">
        <f t="shared" si="1"/>
        <v>Faclitiy 2 - Processing Unit- Dal Mill</v>
      </c>
      <c r="B19" s="78">
        <f>'13.Facility 2 Grain Processing'!D177</f>
        <v>91987893.177960008</v>
      </c>
      <c r="C19" s="78">
        <f>'13.Facility 2 Grain Processing'!E177</f>
        <v>108813432.22856404</v>
      </c>
      <c r="D19" s="78">
        <f>'13.Facility 2 Grain Processing'!F177</f>
        <v>122442782.52455555</v>
      </c>
      <c r="E19" s="78">
        <f>'13.Facility 2 Grain Processing'!G177</f>
        <v>137163034.26957479</v>
      </c>
      <c r="F19" s="78">
        <f>'13.Facility 2 Grain Processing'!H177</f>
        <v>153049204.23278463</v>
      </c>
      <c r="G19" s="78">
        <f>'13.Facility 2 Grain Processing'!I177</f>
        <v>170181083.60664141</v>
      </c>
      <c r="H19" s="78">
        <f>'13.Facility 2 Grain Processing'!J177</f>
        <v>188643527.90730193</v>
      </c>
      <c r="J19" s="336">
        <f>H25/100000</f>
        <v>1887.5073555855195</v>
      </c>
    </row>
    <row r="20" spans="1:10">
      <c r="A20" s="77" t="str">
        <f t="shared" si="1"/>
        <v>Faclitiy 3 - Warehouse</v>
      </c>
      <c r="B20" s="78">
        <f>'14. Facility 3 Warehouse'!D34</f>
        <v>80000</v>
      </c>
      <c r="C20" s="78">
        <f>'14. Facility 3 Warehouse'!E34</f>
        <v>84000</v>
      </c>
      <c r="D20" s="78">
        <f>'14. Facility 3 Warehouse'!F34</f>
        <v>88200</v>
      </c>
      <c r="E20" s="78">
        <f>'14. Facility 3 Warehouse'!G34</f>
        <v>92610.000000000015</v>
      </c>
      <c r="F20" s="78">
        <f>'14. Facility 3 Warehouse'!H34</f>
        <v>97240.500000000015</v>
      </c>
      <c r="G20" s="78">
        <f>'14. Facility 3 Warehouse'!I34</f>
        <v>102102.52500000002</v>
      </c>
      <c r="H20" s="78">
        <f>'14. Facility 3 Warehouse'!J34</f>
        <v>107207.65125000004</v>
      </c>
    </row>
    <row r="21" spans="1:10">
      <c r="A21" s="77" t="str">
        <f t="shared" si="1"/>
        <v xml:space="preserve">Faclitiy 4 - Custom Hiring </v>
      </c>
      <c r="B21" s="78">
        <f>'15. Facility 4 Custom Hiring'!E49</f>
        <v>0</v>
      </c>
      <c r="C21" s="78">
        <f>'15. Facility 4 Custom Hiring'!F49</f>
        <v>0</v>
      </c>
      <c r="D21" s="78">
        <f>'15. Facility 4 Custom Hiring'!G49</f>
        <v>0</v>
      </c>
      <c r="E21" s="78">
        <f>'15. Facility 4 Custom Hiring'!H49</f>
        <v>0</v>
      </c>
      <c r="F21" s="78">
        <f>'15. Facility 4 Custom Hiring'!I49</f>
        <v>0</v>
      </c>
      <c r="G21" s="78">
        <f>'15. Facility 4 Custom Hiring'!J49</f>
        <v>0</v>
      </c>
      <c r="H21" s="78">
        <f>'15. Facility 4 Custom Hiring'!K49</f>
        <v>0</v>
      </c>
    </row>
    <row r="22" spans="1:10">
      <c r="A22" s="77" t="str">
        <f t="shared" si="1"/>
        <v>Faclitiy 5 - Agri Input Centre</v>
      </c>
      <c r="B22" s="78">
        <f>'16.Facility 5 Agri Input'!D262</f>
        <v>0</v>
      </c>
      <c r="C22" s="78">
        <f>'16.Facility 5 Agri Input'!E262</f>
        <v>0</v>
      </c>
      <c r="D22" s="78">
        <f>'16.Facility 5 Agri Input'!F262</f>
        <v>0</v>
      </c>
      <c r="E22" s="78">
        <f>'16.Facility 5 Agri Input'!G262</f>
        <v>0</v>
      </c>
      <c r="F22" s="78">
        <f>'16.Facility 5 Agri Input'!H262</f>
        <v>0</v>
      </c>
      <c r="G22" s="78">
        <f>'16.Facility 5 Agri Input'!I262</f>
        <v>0</v>
      </c>
      <c r="H22" s="78">
        <f>'16.Facility 5 Agri Input'!J262</f>
        <v>0</v>
      </c>
    </row>
    <row r="23" spans="1:10">
      <c r="A23" s="77" t="str">
        <f t="shared" si="1"/>
        <v>Facility 6 - Processing Unit - Horti Commodity</v>
      </c>
      <c r="B23" s="78">
        <f>'17.Facility 6 Horti Processing '!D177</f>
        <v>0</v>
      </c>
      <c r="C23" s="78">
        <f>'17.Facility 6 Horti Processing '!E177</f>
        <v>0</v>
      </c>
      <c r="D23" s="78">
        <f>'17.Facility 6 Horti Processing '!F177</f>
        <v>0</v>
      </c>
      <c r="E23" s="78">
        <f>'17.Facility 6 Horti Processing '!G177</f>
        <v>0</v>
      </c>
      <c r="F23" s="78">
        <f>'17.Facility 6 Horti Processing '!H177</f>
        <v>0</v>
      </c>
      <c r="G23" s="78">
        <f>'17.Facility 6 Horti Processing '!I177</f>
        <v>0</v>
      </c>
      <c r="H23" s="78">
        <f>'17.Facility 6 Horti Processing '!J177</f>
        <v>0</v>
      </c>
    </row>
    <row r="24" spans="1:10">
      <c r="A24" s="77"/>
      <c r="B24" s="78"/>
      <c r="C24" s="78"/>
      <c r="D24" s="78"/>
      <c r="E24" s="78"/>
      <c r="F24" s="78"/>
      <c r="G24" s="78"/>
      <c r="H24" s="78"/>
    </row>
    <row r="25" spans="1:10">
      <c r="A25" s="79" t="s">
        <v>322</v>
      </c>
      <c r="B25" s="95">
        <f>SUM(B18:B24)</f>
        <v>92067893.177960008</v>
      </c>
      <c r="C25" s="95">
        <f t="shared" ref="C25:H25" si="2">SUM(C18:C24)</f>
        <v>108897432.22856404</v>
      </c>
      <c r="D25" s="95">
        <f t="shared" si="2"/>
        <v>122530982.52455555</v>
      </c>
      <c r="E25" s="95">
        <f t="shared" si="2"/>
        <v>137255644.26957479</v>
      </c>
      <c r="F25" s="95">
        <f t="shared" si="2"/>
        <v>153146444.73278463</v>
      </c>
      <c r="G25" s="95">
        <f t="shared" si="2"/>
        <v>170283186.13164142</v>
      </c>
      <c r="H25" s="95">
        <f t="shared" si="2"/>
        <v>188750735.55855194</v>
      </c>
    </row>
    <row r="26" spans="1:10">
      <c r="A26" s="77"/>
      <c r="B26" s="78"/>
      <c r="C26" s="78"/>
      <c r="D26" s="78"/>
      <c r="E26" s="78"/>
      <c r="F26" s="78"/>
      <c r="G26" s="78"/>
      <c r="H26" s="78"/>
    </row>
    <row r="27" spans="1:10">
      <c r="A27" s="79" t="s">
        <v>310</v>
      </c>
      <c r="B27" s="78"/>
      <c r="C27" s="78"/>
      <c r="D27" s="78"/>
      <c r="E27" s="78"/>
      <c r="F27" s="78"/>
      <c r="G27" s="78"/>
      <c r="H27" s="78"/>
    </row>
    <row r="28" spans="1:10">
      <c r="A28" s="77" t="str">
        <f t="shared" ref="A28:A33" si="3">A18</f>
        <v>Faclitiy 1 - Trading</v>
      </c>
      <c r="B28" s="78">
        <f>'12.Facility 1 - Trading'!D301</f>
        <v>0</v>
      </c>
      <c r="C28" s="78">
        <f>'12.Facility 1 - Trading'!E301</f>
        <v>0</v>
      </c>
      <c r="D28" s="78">
        <f>'12.Facility 1 - Trading'!F301</f>
        <v>0</v>
      </c>
      <c r="E28" s="78">
        <f>'12.Facility 1 - Trading'!G301</f>
        <v>0</v>
      </c>
      <c r="F28" s="78">
        <f>'12.Facility 1 - Trading'!H301</f>
        <v>0</v>
      </c>
      <c r="G28" s="78">
        <f>'12.Facility 1 - Trading'!I301</f>
        <v>0</v>
      </c>
      <c r="H28" s="78">
        <f>'12.Facility 1 - Trading'!J301</f>
        <v>0</v>
      </c>
    </row>
    <row r="29" spans="1:10">
      <c r="A29" s="77" t="str">
        <f t="shared" si="3"/>
        <v>Faclitiy 2 - Processing Unit- Dal Mill</v>
      </c>
      <c r="B29" s="78">
        <f>'13.Facility 2 Grain Processing'!D185</f>
        <v>288000</v>
      </c>
      <c r="C29" s="78">
        <f>'13.Facility 2 Grain Processing'!E185</f>
        <v>302400</v>
      </c>
      <c r="D29" s="78">
        <f>'13.Facility 2 Grain Processing'!F185</f>
        <v>317520.00000000006</v>
      </c>
      <c r="E29" s="78">
        <f>'13.Facility 2 Grain Processing'!G185</f>
        <v>333396.00000000006</v>
      </c>
      <c r="F29" s="78">
        <f>'13.Facility 2 Grain Processing'!H185</f>
        <v>350065.80000000005</v>
      </c>
      <c r="G29" s="78">
        <f>'13.Facility 2 Grain Processing'!I185</f>
        <v>367569.09</v>
      </c>
      <c r="H29" s="78">
        <f>'13.Facility 2 Grain Processing'!J185</f>
        <v>385947.54450000002</v>
      </c>
    </row>
    <row r="30" spans="1:10">
      <c r="A30" s="77" t="str">
        <f t="shared" si="3"/>
        <v>Faclitiy 3 - Warehouse</v>
      </c>
      <c r="B30" s="78">
        <f>'14. Facility 3 Warehouse'!D43</f>
        <v>0</v>
      </c>
      <c r="C30" s="78">
        <f>'14. Facility 3 Warehouse'!E43</f>
        <v>0</v>
      </c>
      <c r="D30" s="78">
        <f>'14. Facility 3 Warehouse'!F43</f>
        <v>0</v>
      </c>
      <c r="E30" s="78">
        <f>'14. Facility 3 Warehouse'!G43</f>
        <v>0</v>
      </c>
      <c r="F30" s="78">
        <f>'14. Facility 3 Warehouse'!H43</f>
        <v>0</v>
      </c>
      <c r="G30" s="78">
        <f>'14. Facility 3 Warehouse'!I43</f>
        <v>0</v>
      </c>
      <c r="H30" s="78">
        <f>'14. Facility 3 Warehouse'!J43</f>
        <v>0</v>
      </c>
    </row>
    <row r="31" spans="1:10">
      <c r="A31" s="77" t="str">
        <f t="shared" si="3"/>
        <v xml:space="preserve">Faclitiy 4 - Custom Hiring </v>
      </c>
      <c r="B31" s="78">
        <f>'15. Facility 4 Custom Hiring'!E56</f>
        <v>0</v>
      </c>
      <c r="C31" s="78">
        <f>'15. Facility 4 Custom Hiring'!F56</f>
        <v>0</v>
      </c>
      <c r="D31" s="78">
        <f>'15. Facility 4 Custom Hiring'!G56</f>
        <v>0</v>
      </c>
      <c r="E31" s="78">
        <f>'15. Facility 4 Custom Hiring'!H56</f>
        <v>0</v>
      </c>
      <c r="F31" s="78">
        <f>'15. Facility 4 Custom Hiring'!I56</f>
        <v>0</v>
      </c>
      <c r="G31" s="78">
        <f>'15. Facility 4 Custom Hiring'!J56</f>
        <v>0</v>
      </c>
      <c r="H31" s="78">
        <f>'15. Facility 4 Custom Hiring'!K56</f>
        <v>0</v>
      </c>
    </row>
    <row r="32" spans="1:10">
      <c r="A32" s="77" t="str">
        <f t="shared" si="3"/>
        <v>Faclitiy 5 - Agri Input Centre</v>
      </c>
      <c r="B32" s="78">
        <f>'16.Facility 5 Agri Input'!D273</f>
        <v>0</v>
      </c>
      <c r="C32" s="78">
        <f>'16.Facility 5 Agri Input'!E273</f>
        <v>0</v>
      </c>
      <c r="D32" s="78">
        <f>'16.Facility 5 Agri Input'!F273</f>
        <v>0</v>
      </c>
      <c r="E32" s="78">
        <f>'16.Facility 5 Agri Input'!G273</f>
        <v>0</v>
      </c>
      <c r="F32" s="78">
        <f>'16.Facility 5 Agri Input'!H273</f>
        <v>0</v>
      </c>
      <c r="G32" s="78">
        <f>'16.Facility 5 Agri Input'!I273</f>
        <v>0</v>
      </c>
      <c r="H32" s="78">
        <f>'16.Facility 5 Agri Input'!J273</f>
        <v>0</v>
      </c>
    </row>
    <row r="33" spans="1:10">
      <c r="A33" s="77" t="str">
        <f t="shared" si="3"/>
        <v>Facility 6 - Processing Unit - Horti Commodity</v>
      </c>
      <c r="B33" s="78">
        <f>'17.Facility 6 Horti Processing '!D185</f>
        <v>0</v>
      </c>
      <c r="C33" s="78">
        <f>'17.Facility 6 Horti Processing '!E185</f>
        <v>0</v>
      </c>
      <c r="D33" s="78">
        <f>'17.Facility 6 Horti Processing '!F185</f>
        <v>0</v>
      </c>
      <c r="E33" s="78">
        <f>'17.Facility 6 Horti Processing '!G185</f>
        <v>0</v>
      </c>
      <c r="F33" s="78">
        <f>'17.Facility 6 Horti Processing '!H185</f>
        <v>0</v>
      </c>
      <c r="G33" s="78">
        <f>'17.Facility 6 Horti Processing '!I185</f>
        <v>0</v>
      </c>
      <c r="H33" s="78">
        <f>'17.Facility 6 Horti Processing '!J185</f>
        <v>0</v>
      </c>
    </row>
    <row r="34" spans="1:10">
      <c r="A34" s="77"/>
      <c r="B34" s="78"/>
      <c r="C34" s="78"/>
      <c r="D34" s="78"/>
      <c r="E34" s="78"/>
      <c r="F34" s="78"/>
      <c r="G34" s="78"/>
      <c r="H34" s="78"/>
    </row>
    <row r="35" spans="1:10">
      <c r="A35" s="77" t="s">
        <v>9</v>
      </c>
      <c r="B35" s="78">
        <f>'3.Other Exp &amp; Taxes'!E23</f>
        <v>3008000</v>
      </c>
      <c r="C35" s="78">
        <f>'3.Other Exp &amp; Taxes'!F23</f>
        <v>3158400</v>
      </c>
      <c r="D35" s="78">
        <f>'3.Other Exp &amp; Taxes'!G23</f>
        <v>3316320</v>
      </c>
      <c r="E35" s="78">
        <f>'3.Other Exp &amp; Taxes'!H23</f>
        <v>3482136.0000000005</v>
      </c>
      <c r="F35" s="78">
        <f>'3.Other Exp &amp; Taxes'!I23</f>
        <v>3656242.8000000003</v>
      </c>
      <c r="G35" s="78">
        <f>'3.Other Exp &amp; Taxes'!J23</f>
        <v>3839054.9400000013</v>
      </c>
      <c r="H35" s="78">
        <f>'3.Other Exp &amp; Taxes'!K23</f>
        <v>4031007.6870000008</v>
      </c>
    </row>
    <row r="36" spans="1:10">
      <c r="A36" s="79" t="s">
        <v>326</v>
      </c>
      <c r="B36" s="95">
        <f t="shared" ref="B36:H36" si="4">SUM(B28:B35)</f>
        <v>3296000</v>
      </c>
      <c r="C36" s="95">
        <f t="shared" si="4"/>
        <v>3460800</v>
      </c>
      <c r="D36" s="95">
        <f t="shared" si="4"/>
        <v>3633840</v>
      </c>
      <c r="E36" s="95">
        <f t="shared" si="4"/>
        <v>3815532.0000000005</v>
      </c>
      <c r="F36" s="95">
        <f t="shared" si="4"/>
        <v>4006308.6000000006</v>
      </c>
      <c r="G36" s="95">
        <f t="shared" si="4"/>
        <v>4206624.0300000012</v>
      </c>
      <c r="H36" s="95">
        <f t="shared" si="4"/>
        <v>4416955.2315000007</v>
      </c>
    </row>
    <row r="37" spans="1:10">
      <c r="A37" s="77"/>
      <c r="B37" s="78"/>
      <c r="C37" s="78"/>
      <c r="D37" s="78"/>
      <c r="E37" s="78"/>
      <c r="F37" s="78"/>
      <c r="G37" s="78"/>
      <c r="H37" s="78"/>
    </row>
    <row r="38" spans="1:10">
      <c r="A38" s="79" t="s">
        <v>331</v>
      </c>
      <c r="B38" s="95">
        <f t="shared" ref="B38:H38" si="5">B25+B36</f>
        <v>95363893.177960008</v>
      </c>
      <c r="C38" s="95">
        <f t="shared" si="5"/>
        <v>112358232.22856404</v>
      </c>
      <c r="D38" s="95">
        <f t="shared" si="5"/>
        <v>126164822.52455555</v>
      </c>
      <c r="E38" s="95">
        <f t="shared" si="5"/>
        <v>141071176.26957479</v>
      </c>
      <c r="F38" s="95">
        <f t="shared" si="5"/>
        <v>157152753.33278462</v>
      </c>
      <c r="G38" s="95">
        <f t="shared" si="5"/>
        <v>174489810.16164142</v>
      </c>
      <c r="H38" s="95">
        <f t="shared" si="5"/>
        <v>193167690.79005194</v>
      </c>
    </row>
    <row r="39" spans="1:10">
      <c r="A39" s="77"/>
      <c r="B39" s="78"/>
      <c r="C39" s="78"/>
      <c r="D39" s="78"/>
      <c r="E39" s="78"/>
      <c r="F39" s="78"/>
      <c r="G39" s="78"/>
      <c r="H39" s="78"/>
    </row>
    <row r="40" spans="1:10">
      <c r="A40" s="79" t="s">
        <v>137</v>
      </c>
      <c r="B40" s="95">
        <f t="shared" ref="B40:H40" si="6">B15-B38</f>
        <v>5204801.2215600014</v>
      </c>
      <c r="C40" s="95">
        <f t="shared" si="6"/>
        <v>6684781.9069079906</v>
      </c>
      <c r="D40" s="95">
        <f t="shared" si="6"/>
        <v>7786929.6394280791</v>
      </c>
      <c r="E40" s="95">
        <f t="shared" si="6"/>
        <v>8982580.1904329658</v>
      </c>
      <c r="F40" s="95">
        <f t="shared" si="6"/>
        <v>10278328.472439706</v>
      </c>
      <c r="G40" s="95">
        <f t="shared" si="6"/>
        <v>11642906.685296059</v>
      </c>
      <c r="H40" s="95">
        <f t="shared" si="6"/>
        <v>13118246.898256987</v>
      </c>
      <c r="J40" s="53">
        <f>B49+B42+B43</f>
        <v>3976226.846859748</v>
      </c>
    </row>
    <row r="41" spans="1:10">
      <c r="A41" s="77"/>
      <c r="B41" s="78"/>
      <c r="C41" s="78"/>
      <c r="D41" s="78"/>
      <c r="E41" s="78"/>
      <c r="F41" s="78"/>
      <c r="G41" s="78"/>
      <c r="H41" s="78"/>
      <c r="J41">
        <f>'5.Closing Stock &amp; W Capital'!E56</f>
        <v>1722024.1928192878</v>
      </c>
    </row>
    <row r="42" spans="1:10">
      <c r="A42" s="77" t="s">
        <v>17</v>
      </c>
      <c r="B42" s="78">
        <f>'3.Other Exp &amp; Taxes'!C66</f>
        <v>1174589.2039999999</v>
      </c>
      <c r="C42" s="78">
        <f>'3.Other Exp &amp; Taxes'!D66</f>
        <v>1174589.2039999999</v>
      </c>
      <c r="D42" s="78">
        <f>'3.Other Exp &amp; Taxes'!E66</f>
        <v>1174589.2039999999</v>
      </c>
      <c r="E42" s="78">
        <f>'3.Other Exp &amp; Taxes'!F66</f>
        <v>1174589.2039999999</v>
      </c>
      <c r="F42" s="78">
        <f>'3.Other Exp &amp; Taxes'!G66</f>
        <v>1174589.2039999999</v>
      </c>
      <c r="G42" s="78">
        <f>'3.Other Exp &amp; Taxes'!H66</f>
        <v>1174589.2039999999</v>
      </c>
      <c r="H42" s="78">
        <f>'3.Other Exp &amp; Taxes'!I66</f>
        <v>1174589.2039999999</v>
      </c>
      <c r="J42" s="53">
        <f>J40+J41</f>
        <v>5698251.0396790355</v>
      </c>
    </row>
    <row r="43" spans="1:10">
      <c r="A43" s="77" t="s">
        <v>138</v>
      </c>
      <c r="B43" s="78">
        <f>'3.Other Exp &amp; Taxes'!C86</f>
        <v>250000</v>
      </c>
      <c r="C43" s="78">
        <f>'3.Other Exp &amp; Taxes'!D86</f>
        <v>250000</v>
      </c>
      <c r="D43" s="78">
        <f>'3.Other Exp &amp; Taxes'!E86</f>
        <v>250000</v>
      </c>
      <c r="E43" s="78">
        <f>'3.Other Exp &amp; Taxes'!F86</f>
        <v>250000</v>
      </c>
      <c r="F43" s="78">
        <f>'3.Other Exp &amp; Taxes'!G86</f>
        <v>250000</v>
      </c>
      <c r="G43" s="78">
        <f>'3.Other Exp &amp; Taxes'!H86</f>
        <v>0</v>
      </c>
      <c r="H43" s="78">
        <f>'3.Other Exp &amp; Taxes'!I86</f>
        <v>0</v>
      </c>
    </row>
    <row r="44" spans="1:10">
      <c r="A44" s="77"/>
      <c r="B44" s="78"/>
      <c r="C44" s="78"/>
      <c r="D44" s="78"/>
      <c r="E44" s="78"/>
      <c r="F44" s="78"/>
      <c r="G44" s="78"/>
      <c r="H44" s="78"/>
    </row>
    <row r="45" spans="1:10">
      <c r="A45" s="79" t="s">
        <v>139</v>
      </c>
      <c r="B45" s="95">
        <f>B40-B42-B43</f>
        <v>3780212.0175600015</v>
      </c>
      <c r="C45" s="95">
        <f t="shared" ref="C45:H45" si="7">C40-C42-C43</f>
        <v>5260192.7029079907</v>
      </c>
      <c r="D45" s="95">
        <f t="shared" si="7"/>
        <v>6362340.4354280792</v>
      </c>
      <c r="E45" s="95">
        <f t="shared" si="7"/>
        <v>7557990.9864329658</v>
      </c>
      <c r="F45" s="95">
        <f t="shared" si="7"/>
        <v>8853739.2684397064</v>
      </c>
      <c r="G45" s="95">
        <f t="shared" si="7"/>
        <v>10468317.481296059</v>
      </c>
      <c r="H45" s="95">
        <f t="shared" si="7"/>
        <v>11943657.694256987</v>
      </c>
    </row>
    <row r="46" spans="1:10">
      <c r="A46" s="77"/>
      <c r="B46" s="78"/>
      <c r="C46" s="78"/>
      <c r="D46" s="78"/>
      <c r="E46" s="78"/>
      <c r="F46" s="78"/>
      <c r="G46" s="78"/>
      <c r="H46" s="78"/>
    </row>
    <row r="47" spans="1:10">
      <c r="A47" s="77" t="s">
        <v>24</v>
      </c>
      <c r="B47" s="78">
        <f>'8.Cash Flow '!C26+'8.Cash Flow '!C28</f>
        <v>1228574.3747002534</v>
      </c>
      <c r="C47" s="78">
        <f>'8.Cash Flow '!D26+'8.Cash Flow '!D28</f>
        <v>1462539.5928041842</v>
      </c>
      <c r="D47" s="78">
        <f>'8.Cash Flow '!E26+'8.Cash Flow '!E28</f>
        <v>1457822.9921058388</v>
      </c>
      <c r="E47" s="78">
        <f>'8.Cash Flow '!F26+'8.Cash Flow '!F28</f>
        <v>1446266.9886303726</v>
      </c>
      <c r="F47" s="78">
        <f>'8.Cash Flow '!G26+'8.Cash Flow '!G28</f>
        <v>1426361.8260015745</v>
      </c>
      <c r="G47" s="78">
        <f>'8.Cash Flow '!H26+'8.Cash Flow '!H28</f>
        <v>1396176.7262702077</v>
      </c>
      <c r="H47" s="78">
        <f>'8.Cash Flow '!I26+'8.Cash Flow '!I28</f>
        <v>1353835.570794587</v>
      </c>
    </row>
    <row r="48" spans="1:10">
      <c r="A48" s="77"/>
      <c r="B48" s="78"/>
      <c r="C48" s="78"/>
      <c r="D48" s="78"/>
      <c r="E48" s="78"/>
      <c r="F48" s="78"/>
      <c r="G48" s="78"/>
      <c r="H48" s="78"/>
    </row>
    <row r="49" spans="1:9">
      <c r="A49" s="77" t="s">
        <v>25</v>
      </c>
      <c r="B49" s="78">
        <f>B45-B47</f>
        <v>2551637.6428597481</v>
      </c>
      <c r="C49" s="78">
        <f t="shared" ref="C49:H49" si="8">C45-C47</f>
        <v>3797653.1101038065</v>
      </c>
      <c r="D49" s="78">
        <f t="shared" si="8"/>
        <v>4904517.4433222404</v>
      </c>
      <c r="E49" s="78">
        <f t="shared" si="8"/>
        <v>6111723.9978025928</v>
      </c>
      <c r="F49" s="78">
        <f t="shared" si="8"/>
        <v>7427377.4424381321</v>
      </c>
      <c r="G49" s="78">
        <f t="shared" si="8"/>
        <v>9072140.7550258506</v>
      </c>
      <c r="H49" s="78">
        <f t="shared" si="8"/>
        <v>10589822.123462401</v>
      </c>
    </row>
    <row r="50" spans="1:9">
      <c r="A50" s="77" t="s">
        <v>26</v>
      </c>
      <c r="B50" s="78">
        <f>'3.Other Exp &amp; Taxes'!B99</f>
        <v>164453.86018353447</v>
      </c>
      <c r="C50" s="78">
        <f>'3.Other Exp &amp; Taxes'!C99</f>
        <v>592858.89366698975</v>
      </c>
      <c r="D50" s="78">
        <f>'3.Other Exp &amp; Taxes'!D99</f>
        <v>971039.85610378254</v>
      </c>
      <c r="E50" s="78">
        <f>'3.Other Exp &amp; Taxes'!E99</f>
        <v>1363209.5987386741</v>
      </c>
      <c r="F50" s="78">
        <f>'3.Other Exp &amp; Taxes'!F99</f>
        <v>1773144.4412794148</v>
      </c>
      <c r="G50" s="78">
        <f>'3.Other Exp &amp; Taxes'!G99</f>
        <v>2259650.090259796</v>
      </c>
      <c r="H50" s="78">
        <f>'3.Other Exp &amp; Taxes'!H99</f>
        <v>2705348.1401358983</v>
      </c>
    </row>
    <row r="51" spans="1:9">
      <c r="A51" s="79" t="s">
        <v>28</v>
      </c>
      <c r="B51" s="78">
        <f>B49-B50</f>
        <v>2387183.7826762134</v>
      </c>
      <c r="C51" s="78">
        <f>C49-C50</f>
        <v>3204794.2164368168</v>
      </c>
      <c r="D51" s="78">
        <f>D49-D50</f>
        <v>3933477.5872184578</v>
      </c>
      <c r="E51" s="78">
        <f>E49-E50</f>
        <v>4748514.3990639187</v>
      </c>
      <c r="F51" s="78">
        <f>F49-F50</f>
        <v>5654233.0011587171</v>
      </c>
      <c r="G51" s="78">
        <f t="shared" ref="G51:H51" si="9">G49-G50</f>
        <v>6812490.6647660546</v>
      </c>
      <c r="H51" s="78">
        <f t="shared" si="9"/>
        <v>7884473.9833265031</v>
      </c>
    </row>
    <row r="52" spans="1:9">
      <c r="A52" s="76"/>
      <c r="B52" s="92"/>
      <c r="C52" s="92"/>
      <c r="D52" s="92"/>
      <c r="E52" s="92"/>
      <c r="F52" s="92"/>
      <c r="G52" s="92"/>
      <c r="H52" s="92"/>
    </row>
    <row r="53" spans="1:9">
      <c r="A53" s="76" t="s">
        <v>517</v>
      </c>
      <c r="B53" s="92">
        <f>B51</f>
        <v>2387183.7826762134</v>
      </c>
      <c r="C53" s="92">
        <f t="shared" ref="C53:H53" si="10">B53+C51</f>
        <v>5591977.9991130307</v>
      </c>
      <c r="D53" s="92">
        <f t="shared" si="10"/>
        <v>9525455.5863314886</v>
      </c>
      <c r="E53" s="92">
        <f t="shared" si="10"/>
        <v>14273969.985395407</v>
      </c>
      <c r="F53" s="92">
        <f t="shared" si="10"/>
        <v>19928202.986554123</v>
      </c>
      <c r="G53" s="92">
        <f t="shared" si="10"/>
        <v>26740693.651320178</v>
      </c>
      <c r="H53" s="92">
        <f t="shared" si="10"/>
        <v>34625167.634646684</v>
      </c>
    </row>
    <row r="56" spans="1:9" ht="32.450000000000003" customHeight="1">
      <c r="A56" s="392" t="s">
        <v>415</v>
      </c>
      <c r="B56" s="392"/>
      <c r="C56" s="392"/>
      <c r="D56" s="392"/>
      <c r="E56" s="392"/>
      <c r="F56" s="392"/>
      <c r="G56" s="392"/>
      <c r="H56" s="392"/>
      <c r="I56" s="392"/>
    </row>
    <row r="58" spans="1:9">
      <c r="A58" s="255"/>
    </row>
  </sheetData>
  <mergeCells count="2">
    <mergeCell ref="A2:H2"/>
    <mergeCell ref="A56:I56"/>
  </mergeCells>
  <pageMargins left="0.7" right="0.7" top="0.75" bottom="0.75" header="0.3" footer="0.3"/>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25" zoomScale="80" zoomScaleSheetLayoutView="80" workbookViewId="0">
      <selection activeCell="A4" sqref="A4:H46"/>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376"/>
      <c r="B1" s="376"/>
      <c r="C1" s="376"/>
      <c r="D1" s="376"/>
      <c r="E1" s="376"/>
      <c r="F1" s="376"/>
    </row>
    <row r="2" spans="1:18" ht="18.75">
      <c r="A2" s="393" t="s">
        <v>570</v>
      </c>
      <c r="B2" s="362"/>
      <c r="C2" s="362"/>
      <c r="D2" s="362"/>
      <c r="E2" s="362"/>
      <c r="F2" s="362"/>
      <c r="G2" s="362"/>
      <c r="H2" s="362"/>
      <c r="I2" s="5"/>
    </row>
    <row r="3" spans="1:18">
      <c r="A3" s="69"/>
      <c r="B3" s="45"/>
      <c r="C3" s="45"/>
      <c r="D3" s="45"/>
      <c r="E3" s="45"/>
      <c r="F3" s="45"/>
    </row>
    <row r="4" spans="1:18">
      <c r="A4" s="98" t="s">
        <v>0</v>
      </c>
      <c r="B4" s="99" t="s">
        <v>2</v>
      </c>
      <c r="C4" s="99" t="s">
        <v>3</v>
      </c>
      <c r="D4" s="99" t="s">
        <v>4</v>
      </c>
      <c r="E4" s="99" t="s">
        <v>5</v>
      </c>
      <c r="F4" s="99" t="s">
        <v>6</v>
      </c>
      <c r="G4" s="100" t="s">
        <v>169</v>
      </c>
      <c r="H4" s="100" t="s">
        <v>168</v>
      </c>
    </row>
    <row r="5" spans="1:18">
      <c r="A5" s="101"/>
      <c r="B5" s="102"/>
      <c r="C5" s="103"/>
      <c r="D5" s="103"/>
      <c r="E5" s="103"/>
      <c r="F5" s="103"/>
      <c r="G5" s="103"/>
      <c r="H5" s="103"/>
    </row>
    <row r="6" spans="1:18">
      <c r="A6" s="104" t="s">
        <v>49</v>
      </c>
      <c r="B6" s="105"/>
      <c r="C6" s="105"/>
      <c r="D6" s="105"/>
      <c r="E6" s="105"/>
      <c r="F6" s="105"/>
      <c r="G6" s="105"/>
      <c r="H6" s="105"/>
    </row>
    <row r="7" spans="1:18">
      <c r="A7" s="106" t="s">
        <v>50</v>
      </c>
      <c r="B7" s="107"/>
      <c r="C7" s="107"/>
      <c r="D7" s="107"/>
      <c r="E7" s="107"/>
      <c r="F7" s="107"/>
      <c r="G7" s="107"/>
      <c r="H7" s="107"/>
    </row>
    <row r="8" spans="1:18">
      <c r="A8" s="108" t="s">
        <v>250</v>
      </c>
      <c r="B8" s="109">
        <f>'8.Cash Flow '!C33</f>
        <v>5109830.1390146911</v>
      </c>
      <c r="C8" s="109">
        <f>'8.Cash Flow '!D33</f>
        <v>8807941.7894045562</v>
      </c>
      <c r="D8" s="109">
        <f>'8.Cash Flow '!E33</f>
        <v>13111421.484648272</v>
      </c>
      <c r="E8" s="109">
        <f>'8.Cash Flow '!F33</f>
        <v>18090293.737887904</v>
      </c>
      <c r="F8" s="109">
        <f>'8.Cash Flow '!G33</f>
        <v>23816749.199373439</v>
      </c>
      <c r="G8" s="109">
        <f>'8.Cash Flow '!H33</f>
        <v>30272387.266965583</v>
      </c>
      <c r="H8" s="109">
        <f>'8.Cash Flow '!I33</f>
        <v>37597221.184491679</v>
      </c>
      <c r="K8" s="54"/>
      <c r="L8" s="54"/>
      <c r="M8" s="54"/>
      <c r="N8" s="54"/>
      <c r="O8" s="54"/>
      <c r="P8" s="54"/>
      <c r="Q8" s="54"/>
      <c r="R8" s="54"/>
    </row>
    <row r="9" spans="1:18">
      <c r="A9" s="110" t="s">
        <v>251</v>
      </c>
      <c r="B9" s="111"/>
      <c r="C9" s="111"/>
      <c r="D9" s="111"/>
      <c r="E9" s="111"/>
      <c r="F9" s="111"/>
      <c r="G9" s="111"/>
      <c r="H9" s="111"/>
      <c r="K9" s="54"/>
      <c r="L9" s="54"/>
      <c r="M9" s="54"/>
      <c r="N9" s="54"/>
      <c r="O9" s="54"/>
      <c r="P9" s="54"/>
      <c r="Q9" s="54"/>
      <c r="R9" s="54"/>
    </row>
    <row r="10" spans="1:18">
      <c r="A10" s="110" t="s">
        <v>607</v>
      </c>
      <c r="B10" s="111"/>
      <c r="C10" s="111"/>
      <c r="D10" s="111"/>
      <c r="E10" s="111"/>
      <c r="F10" s="111"/>
      <c r="G10" s="111"/>
      <c r="H10" s="111"/>
      <c r="K10" s="54"/>
      <c r="L10" s="54"/>
      <c r="M10" s="54"/>
      <c r="N10" s="54"/>
      <c r="O10" s="54"/>
      <c r="P10" s="54"/>
      <c r="Q10" s="54"/>
      <c r="R10" s="54"/>
    </row>
    <row r="11" spans="1:18">
      <c r="A11" s="106" t="s">
        <v>252</v>
      </c>
      <c r="B11" s="109">
        <f t="shared" ref="B11:H11" si="0">SUM(B8:B10)</f>
        <v>5109830.1390146911</v>
      </c>
      <c r="C11" s="109">
        <f t="shared" si="0"/>
        <v>8807941.7894045562</v>
      </c>
      <c r="D11" s="109">
        <f t="shared" si="0"/>
        <v>13111421.484648272</v>
      </c>
      <c r="E11" s="109">
        <f t="shared" si="0"/>
        <v>18090293.737887904</v>
      </c>
      <c r="F11" s="109">
        <f t="shared" si="0"/>
        <v>23816749.199373439</v>
      </c>
      <c r="G11" s="109">
        <f t="shared" si="0"/>
        <v>30272387.266965583</v>
      </c>
      <c r="H11" s="109">
        <f t="shared" si="0"/>
        <v>37597221.184491679</v>
      </c>
    </row>
    <row r="12" spans="1:18">
      <c r="A12" s="106"/>
      <c r="B12" s="111"/>
      <c r="C12" s="111"/>
      <c r="D12" s="111"/>
      <c r="E12" s="111"/>
      <c r="F12" s="111"/>
      <c r="G12" s="111"/>
      <c r="H12" s="111"/>
      <c r="J12" s="54"/>
      <c r="K12" s="54"/>
      <c r="L12" s="54"/>
      <c r="M12" s="54"/>
      <c r="N12" s="54"/>
      <c r="O12" s="54"/>
      <c r="P12" s="54"/>
      <c r="Q12" s="54"/>
    </row>
    <row r="13" spans="1:18">
      <c r="A13" s="112" t="s">
        <v>253</v>
      </c>
      <c r="B13" s="111">
        <f>'3.Other Exp &amp; Taxes'!C65</f>
        <v>24782120</v>
      </c>
      <c r="C13" s="111">
        <f>'3.Other Exp &amp; Taxes'!D65</f>
        <v>23607530.796</v>
      </c>
      <c r="D13" s="111">
        <f>'3.Other Exp &amp; Taxes'!E65</f>
        <v>22432941.592</v>
      </c>
      <c r="E13" s="111">
        <f>'3.Other Exp &amp; Taxes'!F65</f>
        <v>21258352.388</v>
      </c>
      <c r="F13" s="111">
        <f>'3.Other Exp &amp; Taxes'!G65</f>
        <v>20083763.184</v>
      </c>
      <c r="G13" s="111">
        <f>'3.Other Exp &amp; Taxes'!H65</f>
        <v>18909173.98</v>
      </c>
      <c r="H13" s="111">
        <f>'3.Other Exp &amp; Taxes'!I65</f>
        <v>17734584.776000001</v>
      </c>
    </row>
    <row r="14" spans="1:18">
      <c r="A14" s="112" t="s">
        <v>254</v>
      </c>
      <c r="B14" s="111">
        <f>'3.Other Exp &amp; Taxes'!C66</f>
        <v>1174589.2039999999</v>
      </c>
      <c r="C14" s="111">
        <f>'3.Other Exp &amp; Taxes'!D66</f>
        <v>1174589.2039999999</v>
      </c>
      <c r="D14" s="111">
        <f>'3.Other Exp &amp; Taxes'!E66</f>
        <v>1174589.2039999999</v>
      </c>
      <c r="E14" s="111">
        <f>'3.Other Exp &amp; Taxes'!F66</f>
        <v>1174589.2039999999</v>
      </c>
      <c r="F14" s="111">
        <f>'3.Other Exp &amp; Taxes'!G66</f>
        <v>1174589.2039999999</v>
      </c>
      <c r="G14" s="111">
        <f>'3.Other Exp &amp; Taxes'!H66</f>
        <v>1174589.2039999999</v>
      </c>
      <c r="H14" s="111">
        <f>'3.Other Exp &amp; Taxes'!I66</f>
        <v>1174589.2039999999</v>
      </c>
      <c r="K14" s="54"/>
      <c r="L14" s="54"/>
      <c r="M14" s="54"/>
      <c r="N14" s="54"/>
      <c r="O14" s="54"/>
      <c r="P14" s="54"/>
      <c r="Q14" s="54"/>
    </row>
    <row r="15" spans="1:18" s="45" customFormat="1">
      <c r="A15" s="106" t="s">
        <v>199</v>
      </c>
      <c r="B15" s="109">
        <f t="shared" ref="B15:H15" si="1">B13-B14</f>
        <v>23607530.796</v>
      </c>
      <c r="C15" s="109">
        <f t="shared" si="1"/>
        <v>22432941.592</v>
      </c>
      <c r="D15" s="109">
        <f t="shared" si="1"/>
        <v>21258352.388</v>
      </c>
      <c r="E15" s="109">
        <f t="shared" si="1"/>
        <v>20083763.184</v>
      </c>
      <c r="F15" s="109">
        <f t="shared" si="1"/>
        <v>18909173.98</v>
      </c>
      <c r="G15" s="109">
        <f t="shared" si="1"/>
        <v>17734584.776000001</v>
      </c>
      <c r="H15" s="109">
        <f t="shared" si="1"/>
        <v>16559995.572000001</v>
      </c>
    </row>
    <row r="16" spans="1:18" s="45" customFormat="1">
      <c r="A16" s="106"/>
      <c r="B16" s="109"/>
      <c r="C16" s="109"/>
      <c r="D16" s="109"/>
      <c r="E16" s="109"/>
      <c r="F16" s="109"/>
      <c r="G16" s="109"/>
      <c r="H16" s="109"/>
    </row>
    <row r="17" spans="1:8" s="45" customFormat="1">
      <c r="A17" s="113"/>
      <c r="B17" s="109"/>
      <c r="C17" s="109"/>
      <c r="D17" s="109"/>
      <c r="E17" s="109"/>
      <c r="F17" s="109"/>
      <c r="G17" s="109"/>
      <c r="H17" s="109"/>
    </row>
    <row r="18" spans="1:8" s="45" customFormat="1">
      <c r="A18" s="106" t="s">
        <v>519</v>
      </c>
      <c r="B18" s="109">
        <f>'8.Cash Flow '!C20-'6.Cons Profit &amp; Loss'!B43</f>
        <v>1000000</v>
      </c>
      <c r="C18" s="109">
        <f>B18-'6.Cons Profit &amp; Loss'!C43</f>
        <v>750000</v>
      </c>
      <c r="D18" s="109">
        <f>C18-'6.Cons Profit &amp; Loss'!D43</f>
        <v>500000</v>
      </c>
      <c r="E18" s="109">
        <f>D18-'6.Cons Profit &amp; Loss'!E43</f>
        <v>250000</v>
      </c>
      <c r="F18" s="109">
        <f>E18-'6.Cons Profit &amp; Loss'!F43</f>
        <v>0</v>
      </c>
      <c r="G18" s="109">
        <f>F18-'6.Cons Profit &amp; Loss'!G43</f>
        <v>0</v>
      </c>
      <c r="H18" s="109">
        <f>G18-'6.Cons Profit &amp; Loss'!H43</f>
        <v>0</v>
      </c>
    </row>
    <row r="19" spans="1:8">
      <c r="A19" s="112"/>
      <c r="B19" s="111"/>
      <c r="C19" s="111"/>
      <c r="D19" s="111"/>
      <c r="E19" s="111"/>
      <c r="F19" s="111"/>
      <c r="G19" s="111"/>
      <c r="H19" s="111"/>
    </row>
    <row r="20" spans="1:8">
      <c r="A20" s="113" t="s">
        <v>256</v>
      </c>
      <c r="B20" s="114">
        <f t="shared" ref="B20:H20" si="2">B11+B15+B17+B18</f>
        <v>29717360.935014691</v>
      </c>
      <c r="C20" s="114">
        <f t="shared" si="2"/>
        <v>31990883.381404556</v>
      </c>
      <c r="D20" s="114">
        <f t="shared" si="2"/>
        <v>34869773.872648269</v>
      </c>
      <c r="E20" s="114">
        <f t="shared" si="2"/>
        <v>38424056.921887904</v>
      </c>
      <c r="F20" s="114">
        <f t="shared" si="2"/>
        <v>42725923.179373443</v>
      </c>
      <c r="G20" s="114">
        <f t="shared" si="2"/>
        <v>48006972.042965584</v>
      </c>
      <c r="H20" s="114">
        <f t="shared" si="2"/>
        <v>54157216.756491676</v>
      </c>
    </row>
    <row r="21" spans="1:8">
      <c r="A21" s="101"/>
      <c r="B21" s="115"/>
      <c r="C21" s="115"/>
      <c r="D21" s="115"/>
      <c r="E21" s="115"/>
      <c r="F21" s="115"/>
      <c r="G21" s="115"/>
      <c r="H21" s="115"/>
    </row>
    <row r="22" spans="1:8">
      <c r="A22" s="104" t="s">
        <v>257</v>
      </c>
      <c r="B22" s="116"/>
      <c r="C22" s="116"/>
      <c r="D22" s="116"/>
      <c r="E22" s="116"/>
      <c r="F22" s="116"/>
      <c r="G22" s="116"/>
      <c r="H22" s="116"/>
    </row>
    <row r="23" spans="1:8">
      <c r="A23" s="106" t="s">
        <v>258</v>
      </c>
      <c r="B23" s="116"/>
      <c r="C23" s="116"/>
      <c r="D23" s="116"/>
      <c r="E23" s="116"/>
      <c r="F23" s="116"/>
      <c r="G23" s="116"/>
      <c r="H23" s="116"/>
    </row>
    <row r="24" spans="1:8">
      <c r="A24" s="110" t="s">
        <v>259</v>
      </c>
      <c r="B24" s="109"/>
      <c r="C24" s="109"/>
      <c r="D24" s="109"/>
      <c r="E24" s="109"/>
      <c r="F24" s="109"/>
      <c r="G24" s="109"/>
      <c r="H24" s="109"/>
    </row>
    <row r="25" spans="1:8">
      <c r="A25" s="110" t="s">
        <v>260</v>
      </c>
      <c r="B25" s="115"/>
      <c r="C25" s="115"/>
      <c r="D25" s="115"/>
      <c r="E25" s="115"/>
      <c r="F25" s="115"/>
      <c r="G25" s="115"/>
      <c r="H25" s="115"/>
    </row>
    <row r="26" spans="1:8">
      <c r="A26" s="110" t="s">
        <v>261</v>
      </c>
      <c r="B26" s="109"/>
      <c r="C26" s="109"/>
      <c r="D26" s="109"/>
      <c r="E26" s="109"/>
      <c r="F26" s="109"/>
      <c r="G26" s="109"/>
      <c r="H26" s="109"/>
    </row>
    <row r="27" spans="1:8">
      <c r="A27" s="106" t="s">
        <v>262</v>
      </c>
      <c r="B27" s="114">
        <f t="shared" ref="B27:H27" si="3">SUM(B24:B26)</f>
        <v>0</v>
      </c>
      <c r="C27" s="114">
        <f t="shared" si="3"/>
        <v>0</v>
      </c>
      <c r="D27" s="114">
        <f t="shared" si="3"/>
        <v>0</v>
      </c>
      <c r="E27" s="114">
        <f t="shared" si="3"/>
        <v>0</v>
      </c>
      <c r="F27" s="114">
        <f t="shared" si="3"/>
        <v>0</v>
      </c>
      <c r="G27" s="114">
        <f t="shared" si="3"/>
        <v>0</v>
      </c>
      <c r="H27" s="114">
        <f t="shared" si="3"/>
        <v>0</v>
      </c>
    </row>
    <row r="28" spans="1:8">
      <c r="A28" s="106" t="s">
        <v>263</v>
      </c>
      <c r="B28" s="114">
        <f>'4.TL repayment sch'!G21</f>
        <v>4532456.9595191861</v>
      </c>
      <c r="C28" s="114">
        <f>'4.TL repayment sch'!G33</f>
        <v>3601185.189472219</v>
      </c>
      <c r="D28" s="114">
        <f>'4.TL repayment sch'!G45</f>
        <v>2546598.093497477</v>
      </c>
      <c r="E28" s="114">
        <f>'4.TL repayment sch'!G57</f>
        <v>1352366.7436731937</v>
      </c>
      <c r="F28" s="114">
        <f>'4.TL repayment sch'!G69</f>
        <v>8.5856299847364426E-10</v>
      </c>
      <c r="G28" s="114">
        <f>'4.TL repayment sch'!G81</f>
        <v>-1531441.8011738968</v>
      </c>
      <c r="H28" s="114">
        <f>'[1]Term Loan'!J72+'[1]Term Loan'!S72</f>
        <v>0</v>
      </c>
    </row>
    <row r="29" spans="1:8">
      <c r="A29" s="106" t="s">
        <v>264</v>
      </c>
      <c r="B29" s="114"/>
      <c r="C29" s="114"/>
      <c r="D29" s="114"/>
      <c r="E29" s="114"/>
      <c r="F29" s="114"/>
      <c r="G29" s="114"/>
      <c r="H29" s="114"/>
    </row>
    <row r="30" spans="1:8">
      <c r="A30" s="106"/>
      <c r="B30" s="117"/>
      <c r="C30" s="117"/>
      <c r="D30" s="117"/>
      <c r="E30" s="117"/>
      <c r="F30" s="117"/>
      <c r="G30" s="117"/>
      <c r="H30" s="117"/>
    </row>
    <row r="31" spans="1:8">
      <c r="A31" s="113" t="s">
        <v>265</v>
      </c>
      <c r="B31" s="114">
        <f t="shared" ref="B31:H31" si="4">SUM(B27:B29)</f>
        <v>4532456.9595191861</v>
      </c>
      <c r="C31" s="114">
        <f t="shared" si="4"/>
        <v>3601185.189472219</v>
      </c>
      <c r="D31" s="114">
        <f t="shared" si="4"/>
        <v>2546598.093497477</v>
      </c>
      <c r="E31" s="114">
        <f t="shared" si="4"/>
        <v>1352366.7436731937</v>
      </c>
      <c r="F31" s="114">
        <f t="shared" si="4"/>
        <v>8.5856299847364426E-10</v>
      </c>
      <c r="G31" s="114">
        <f t="shared" si="4"/>
        <v>-1531441.8011738968</v>
      </c>
      <c r="H31" s="114">
        <f t="shared" si="4"/>
        <v>0</v>
      </c>
    </row>
    <row r="32" spans="1:8">
      <c r="A32" s="101"/>
      <c r="B32" s="118"/>
      <c r="C32" s="118"/>
      <c r="D32" s="118"/>
      <c r="E32" s="118"/>
      <c r="F32" s="118"/>
      <c r="G32" s="118"/>
      <c r="H32" s="118"/>
    </row>
    <row r="33" spans="1:8">
      <c r="A33" s="112" t="s">
        <v>266</v>
      </c>
      <c r="B33" s="111">
        <f>'1.Project Cost and MOF'!E21</f>
        <v>7178448.1928192861</v>
      </c>
      <c r="C33" s="111">
        <f>B33</f>
        <v>7178448.1928192861</v>
      </c>
      <c r="D33" s="111">
        <f t="shared" ref="D33:H34" si="5">C33</f>
        <v>7178448.1928192861</v>
      </c>
      <c r="E33" s="111">
        <f t="shared" si="5"/>
        <v>7178448.1928192861</v>
      </c>
      <c r="F33" s="111">
        <f t="shared" si="5"/>
        <v>7178448.1928192861</v>
      </c>
      <c r="G33" s="111">
        <f t="shared" si="5"/>
        <v>7178448.1928192861</v>
      </c>
      <c r="H33" s="111">
        <f t="shared" si="5"/>
        <v>7178448.1928192861</v>
      </c>
    </row>
    <row r="34" spans="1:8">
      <c r="A34" s="112" t="s">
        <v>520</v>
      </c>
      <c r="B34" s="111">
        <f>'1.Project Cost and MOF'!E19</f>
        <v>15619272</v>
      </c>
      <c r="C34" s="111">
        <f>B34</f>
        <v>15619272</v>
      </c>
      <c r="D34" s="111">
        <f t="shared" si="5"/>
        <v>15619272</v>
      </c>
      <c r="E34" s="111">
        <f t="shared" si="5"/>
        <v>15619272</v>
      </c>
      <c r="F34" s="111">
        <f t="shared" si="5"/>
        <v>15619272</v>
      </c>
      <c r="G34" s="111">
        <f t="shared" si="5"/>
        <v>15619272</v>
      </c>
      <c r="H34" s="111">
        <f t="shared" si="5"/>
        <v>15619272</v>
      </c>
    </row>
    <row r="35" spans="1:8">
      <c r="A35" s="106" t="s">
        <v>267</v>
      </c>
      <c r="B35" s="111"/>
      <c r="C35" s="111"/>
      <c r="D35" s="111"/>
      <c r="E35" s="111"/>
      <c r="F35" s="111"/>
      <c r="G35" s="111"/>
      <c r="H35" s="111"/>
    </row>
    <row r="36" spans="1:8">
      <c r="A36" s="112" t="s">
        <v>268</v>
      </c>
      <c r="B36" s="111">
        <v>0</v>
      </c>
      <c r="C36" s="111">
        <f t="shared" ref="C36:H36" si="6">B39</f>
        <v>2387183.7826762134</v>
      </c>
      <c r="D36" s="111">
        <f t="shared" si="6"/>
        <v>5591977.9991130307</v>
      </c>
      <c r="E36" s="111">
        <f t="shared" si="6"/>
        <v>9525455.5863314886</v>
      </c>
      <c r="F36" s="111">
        <f t="shared" si="6"/>
        <v>14273969.985395407</v>
      </c>
      <c r="G36" s="111">
        <f t="shared" si="6"/>
        <v>19928202.986554123</v>
      </c>
      <c r="H36" s="111">
        <f t="shared" si="6"/>
        <v>26740693.651320178</v>
      </c>
    </row>
    <row r="37" spans="1:8">
      <c r="A37" s="112" t="s">
        <v>269</v>
      </c>
      <c r="B37" s="111">
        <f>'6.Cons Profit &amp; Loss'!B53</f>
        <v>2387183.7826762134</v>
      </c>
      <c r="C37" s="111">
        <f>'6.Cons Profit &amp; Loss'!C51</f>
        <v>3204794.2164368168</v>
      </c>
      <c r="D37" s="111">
        <f>'6.Cons Profit &amp; Loss'!D51</f>
        <v>3933477.5872184578</v>
      </c>
      <c r="E37" s="111">
        <f>'6.Cons Profit &amp; Loss'!E51</f>
        <v>4748514.3990639187</v>
      </c>
      <c r="F37" s="111">
        <f>'6.Cons Profit &amp; Loss'!F51</f>
        <v>5654233.0011587171</v>
      </c>
      <c r="G37" s="111">
        <f>'6.Cons Profit &amp; Loss'!G51</f>
        <v>6812490.6647660546</v>
      </c>
      <c r="H37" s="111">
        <f>'6.Cons Profit &amp; Loss'!H51</f>
        <v>7884473.9833265031</v>
      </c>
    </row>
    <row r="38" spans="1:8">
      <c r="A38" s="112" t="s">
        <v>270</v>
      </c>
      <c r="B38" s="111"/>
      <c r="C38" s="111"/>
      <c r="D38" s="111"/>
      <c r="E38" s="111"/>
      <c r="F38" s="111"/>
      <c r="G38" s="111"/>
      <c r="H38" s="111"/>
    </row>
    <row r="39" spans="1:8">
      <c r="A39" s="112" t="s">
        <v>271</v>
      </c>
      <c r="B39" s="111">
        <f t="shared" ref="B39:H39" si="7">B36+B37-B38</f>
        <v>2387183.7826762134</v>
      </c>
      <c r="C39" s="111">
        <f t="shared" si="7"/>
        <v>5591977.9991130307</v>
      </c>
      <c r="D39" s="111">
        <f t="shared" si="7"/>
        <v>9525455.5863314886</v>
      </c>
      <c r="E39" s="111">
        <f t="shared" si="7"/>
        <v>14273969.985395407</v>
      </c>
      <c r="F39" s="111">
        <f t="shared" si="7"/>
        <v>19928202.986554123</v>
      </c>
      <c r="G39" s="111">
        <f t="shared" si="7"/>
        <v>26740693.651320178</v>
      </c>
      <c r="H39" s="111">
        <f t="shared" si="7"/>
        <v>34625167.634646684</v>
      </c>
    </row>
    <row r="40" spans="1:8">
      <c r="A40" s="112"/>
      <c r="B40" s="116"/>
      <c r="C40" s="116"/>
      <c r="D40" s="116"/>
      <c r="E40" s="116"/>
      <c r="F40" s="116"/>
      <c r="G40" s="116"/>
      <c r="H40" s="116"/>
    </row>
    <row r="41" spans="1:8">
      <c r="A41" s="119" t="s">
        <v>272</v>
      </c>
      <c r="B41" s="120">
        <f t="shared" ref="B41:H41" si="8">B33+B39+B34</f>
        <v>25184903.975495499</v>
      </c>
      <c r="C41" s="120">
        <f t="shared" si="8"/>
        <v>28389698.191932317</v>
      </c>
      <c r="D41" s="120">
        <f t="shared" si="8"/>
        <v>32323175.779150777</v>
      </c>
      <c r="E41" s="120">
        <f t="shared" si="8"/>
        <v>37071690.178214692</v>
      </c>
      <c r="F41" s="120">
        <f t="shared" si="8"/>
        <v>42725923.179373413</v>
      </c>
      <c r="G41" s="120">
        <f t="shared" si="8"/>
        <v>49538413.844139464</v>
      </c>
      <c r="H41" s="120">
        <f t="shared" si="8"/>
        <v>57422887.827465966</v>
      </c>
    </row>
    <row r="42" spans="1:8">
      <c r="A42" s="101"/>
      <c r="B42" s="111"/>
      <c r="C42" s="111"/>
      <c r="D42" s="111"/>
      <c r="E42" s="111"/>
      <c r="F42" s="111"/>
      <c r="G42" s="111"/>
      <c r="H42" s="111"/>
    </row>
    <row r="43" spans="1:8">
      <c r="A43" s="113" t="s">
        <v>273</v>
      </c>
      <c r="B43" s="114">
        <f t="shared" ref="B43:H43" si="9">B31+B41</f>
        <v>29717360.935014684</v>
      </c>
      <c r="C43" s="114">
        <f t="shared" si="9"/>
        <v>31990883.381404534</v>
      </c>
      <c r="D43" s="114">
        <f t="shared" si="9"/>
        <v>34869773.872648254</v>
      </c>
      <c r="E43" s="114">
        <f t="shared" si="9"/>
        <v>38424056.921887882</v>
      </c>
      <c r="F43" s="114">
        <f t="shared" si="9"/>
        <v>42725923.179373413</v>
      </c>
      <c r="G43" s="114">
        <f t="shared" si="9"/>
        <v>48006972.042965569</v>
      </c>
      <c r="H43" s="114">
        <f t="shared" si="9"/>
        <v>57422887.827465966</v>
      </c>
    </row>
    <row r="44" spans="1:8">
      <c r="A44" s="101"/>
      <c r="B44" s="121"/>
      <c r="C44" s="121"/>
      <c r="D44" s="121"/>
      <c r="E44" s="121"/>
      <c r="F44" s="121"/>
      <c r="G44" s="121"/>
      <c r="H44" s="121"/>
    </row>
    <row r="45" spans="1:8">
      <c r="A45" s="122" t="s">
        <v>274</v>
      </c>
      <c r="B45" s="123"/>
      <c r="C45" s="123"/>
      <c r="D45" s="123"/>
      <c r="E45" s="123"/>
      <c r="F45" s="123"/>
      <c r="G45" s="123"/>
      <c r="H45" s="123"/>
    </row>
    <row r="46" spans="1:8">
      <c r="A46" s="124" t="s">
        <v>275</v>
      </c>
      <c r="B46" s="125">
        <f t="shared" ref="B46:H46" si="10">B43-B20</f>
        <v>0</v>
      </c>
      <c r="C46" s="125">
        <f t="shared" si="10"/>
        <v>0</v>
      </c>
      <c r="D46" s="125">
        <f t="shared" si="10"/>
        <v>0</v>
      </c>
      <c r="E46" s="125">
        <f t="shared" si="10"/>
        <v>0</v>
      </c>
      <c r="F46" s="125">
        <f t="shared" si="10"/>
        <v>0</v>
      </c>
      <c r="G46" s="125">
        <f t="shared" si="10"/>
        <v>0</v>
      </c>
      <c r="H46" s="125">
        <f t="shared" si="10"/>
        <v>3265671.0709742904</v>
      </c>
    </row>
    <row r="47" spans="1:8">
      <c r="A47" s="124"/>
      <c r="B47" s="125"/>
      <c r="C47" s="125"/>
      <c r="D47" s="125"/>
      <c r="E47" s="125"/>
      <c r="F47" s="125"/>
      <c r="G47" s="125"/>
      <c r="H47" s="125"/>
    </row>
    <row r="48" spans="1:8" ht="15.75" thickBot="1">
      <c r="A48" s="126"/>
      <c r="B48" s="127"/>
      <c r="C48" s="127"/>
      <c r="D48" s="127"/>
      <c r="E48" s="127"/>
      <c r="F48" s="127"/>
      <c r="G48" s="127"/>
      <c r="H48" s="127"/>
    </row>
    <row r="49" spans="1:9">
      <c r="B49" s="46"/>
      <c r="C49" s="46"/>
      <c r="D49" s="46"/>
      <c r="E49" s="46"/>
      <c r="F49" s="46"/>
      <c r="G49" s="46"/>
      <c r="H49" s="46"/>
    </row>
    <row r="50" spans="1:9" ht="39.6" customHeight="1">
      <c r="A50" s="394" t="s">
        <v>416</v>
      </c>
      <c r="B50" s="395"/>
      <c r="C50" s="395"/>
      <c r="D50" s="395"/>
      <c r="E50" s="395"/>
      <c r="F50" s="395"/>
      <c r="G50" s="395"/>
      <c r="H50" s="395"/>
      <c r="I50" s="395"/>
    </row>
  </sheetData>
  <mergeCells count="3">
    <mergeCell ref="A1:F1"/>
    <mergeCell ref="A2:H2"/>
    <mergeCell ref="A50:I50"/>
  </mergeCells>
  <conditionalFormatting sqref="B36:H38">
    <cfRule type="cellIs" dxfId="0" priority="1" operator="lessThan">
      <formula>0</formula>
    </cfRule>
  </conditionalFormatting>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zoomScale="80" zoomScaleSheetLayoutView="80" workbookViewId="0">
      <selection activeCell="A4" sqref="A4:I33"/>
    </sheetView>
  </sheetViews>
  <sheetFormatPr defaultRowHeight="15"/>
  <cols>
    <col min="1" max="1" width="3.5703125" bestFit="1" customWidth="1"/>
    <col min="2" max="2" width="35.7109375" bestFit="1" customWidth="1"/>
    <col min="3" max="3" width="15.5703125" customWidth="1"/>
    <col min="4" max="4" width="15.7109375" customWidth="1"/>
    <col min="5" max="5" width="16.28515625" customWidth="1"/>
    <col min="6" max="6" width="18.28515625" customWidth="1"/>
    <col min="7" max="7" width="18.85546875" customWidth="1"/>
    <col min="8" max="8" width="17.42578125" customWidth="1"/>
    <col min="9" max="9" width="18.140625" customWidth="1"/>
  </cols>
  <sheetData>
    <row r="1" spans="1:10">
      <c r="A1" s="376"/>
      <c r="B1" s="376"/>
      <c r="C1" s="376"/>
      <c r="D1" s="376"/>
      <c r="E1" s="376"/>
      <c r="F1" s="376"/>
      <c r="G1" s="376"/>
    </row>
    <row r="2" spans="1:10" ht="18.75">
      <c r="A2" s="362" t="s">
        <v>571</v>
      </c>
      <c r="B2" s="362"/>
      <c r="C2" s="362"/>
      <c r="D2" s="362"/>
      <c r="E2" s="362"/>
      <c r="F2" s="362"/>
      <c r="G2" s="362"/>
      <c r="H2" s="362"/>
      <c r="I2" s="362"/>
      <c r="J2" s="5"/>
    </row>
    <row r="4" spans="1:10">
      <c r="A4" s="48" t="s">
        <v>231</v>
      </c>
      <c r="B4" s="48" t="s">
        <v>0</v>
      </c>
      <c r="C4" s="49" t="s">
        <v>2</v>
      </c>
      <c r="D4" s="49" t="s">
        <v>3</v>
      </c>
      <c r="E4" s="49" t="s">
        <v>4</v>
      </c>
      <c r="F4" s="49" t="s">
        <v>5</v>
      </c>
      <c r="G4" s="49" t="s">
        <v>6</v>
      </c>
      <c r="H4" s="49" t="s">
        <v>169</v>
      </c>
      <c r="I4" s="49" t="s">
        <v>168</v>
      </c>
    </row>
    <row r="5" spans="1:10">
      <c r="A5" s="31">
        <v>1</v>
      </c>
      <c r="B5" s="31" t="s">
        <v>7</v>
      </c>
      <c r="C5" s="32"/>
      <c r="D5" s="32"/>
      <c r="E5" s="32"/>
      <c r="F5" s="32"/>
      <c r="G5" s="32"/>
      <c r="H5" s="32"/>
      <c r="I5" s="32"/>
    </row>
    <row r="6" spans="1:10">
      <c r="A6" s="31"/>
      <c r="B6" s="33" t="s">
        <v>369</v>
      </c>
      <c r="C6" s="32">
        <f>'6.Cons Profit &amp; Loss'!B15</f>
        <v>100568694.39952001</v>
      </c>
      <c r="D6" s="32">
        <f>'6.Cons Profit &amp; Loss'!C15</f>
        <v>119043014.13547203</v>
      </c>
      <c r="E6" s="32">
        <f>'6.Cons Profit &amp; Loss'!D15</f>
        <v>133951752.16398363</v>
      </c>
      <c r="F6" s="32">
        <f>'6.Cons Profit &amp; Loss'!E15</f>
        <v>150053756.46000776</v>
      </c>
      <c r="G6" s="32">
        <f>'6.Cons Profit &amp; Loss'!F15</f>
        <v>167431081.80522433</v>
      </c>
      <c r="H6" s="32">
        <f>'6.Cons Profit &amp; Loss'!G15</f>
        <v>186132716.84693748</v>
      </c>
      <c r="I6" s="32">
        <f>'6.Cons Profit &amp; Loss'!H15</f>
        <v>206285937.68830892</v>
      </c>
    </row>
    <row r="7" spans="1:10">
      <c r="A7" s="31">
        <v>2</v>
      </c>
      <c r="B7" s="31" t="s">
        <v>232</v>
      </c>
      <c r="C7" s="32">
        <f>'1.Project Cost and MOF'!E21</f>
        <v>7178448.1928192861</v>
      </c>
      <c r="D7" s="32"/>
      <c r="E7" s="32"/>
      <c r="F7" s="32"/>
      <c r="G7" s="32"/>
      <c r="H7" s="32"/>
      <c r="I7" s="32"/>
    </row>
    <row r="8" spans="1:10">
      <c r="A8" s="31"/>
      <c r="B8" s="31" t="s">
        <v>293</v>
      </c>
      <c r="C8" s="32"/>
      <c r="D8" s="32"/>
      <c r="E8" s="32"/>
      <c r="F8" s="32"/>
      <c r="G8" s="32"/>
      <c r="H8" s="32"/>
      <c r="I8" s="32"/>
    </row>
    <row r="9" spans="1:10">
      <c r="A9" s="31">
        <v>3</v>
      </c>
      <c r="B9" s="31" t="str">
        <f>'7.Balance Sheet'!A34</f>
        <v>Smart Grant -in-Aid</v>
      </c>
      <c r="C9" s="32">
        <f>'1.Project Cost and MOF'!E19</f>
        <v>15619272</v>
      </c>
      <c r="D9" s="32"/>
      <c r="E9" s="32"/>
      <c r="F9" s="32"/>
      <c r="G9" s="32"/>
      <c r="H9" s="32"/>
      <c r="I9" s="32"/>
    </row>
    <row r="10" spans="1:10">
      <c r="A10" s="31">
        <v>4</v>
      </c>
      <c r="B10" s="31" t="s">
        <v>233</v>
      </c>
      <c r="C10" s="32">
        <f>'1.Project Cost and MOF'!E20</f>
        <v>4956424</v>
      </c>
      <c r="D10" s="32"/>
      <c r="E10" s="32"/>
      <c r="F10" s="32"/>
      <c r="G10" s="32"/>
      <c r="H10" s="32"/>
      <c r="I10" s="32"/>
    </row>
    <row r="11" spans="1:10">
      <c r="A11" s="31">
        <v>5</v>
      </c>
      <c r="B11" s="31" t="s">
        <v>234</v>
      </c>
      <c r="C11" s="32">
        <f>'5.Closing Stock &amp; W Capital'!E55*75%</f>
        <v>5166072.5784578631</v>
      </c>
      <c r="D11" s="32">
        <f>'5.Closing Stock &amp; W Capital'!F55</f>
        <v>7901157.9276575353</v>
      </c>
      <c r="E11" s="32">
        <f>'5.Closing Stock &amp; W Capital'!G55</f>
        <v>8889480.6379027814</v>
      </c>
      <c r="F11" s="32">
        <f>'5.Closing Stock &amp; W Capital'!H55</f>
        <v>9956882.7243534122</v>
      </c>
      <c r="G11" s="32">
        <f>'5.Closing Stock &amp; W Capital'!I55</f>
        <v>11108801.317854341</v>
      </c>
      <c r="H11" s="32">
        <f>'5.Closing Stock &amp; W Capital'!J55</f>
        <v>12349550.965932153</v>
      </c>
      <c r="I11" s="32">
        <f>'5.Closing Stock &amp; W Capital'!K55</f>
        <v>13686603.575523112</v>
      </c>
    </row>
    <row r="12" spans="1:10">
      <c r="A12" s="31"/>
      <c r="B12" s="31" t="s">
        <v>235</v>
      </c>
      <c r="C12" s="34">
        <f t="shared" ref="C12:I12" si="0">SUM(C6:C11)</f>
        <v>133488911.17079715</v>
      </c>
      <c r="D12" s="34">
        <f t="shared" si="0"/>
        <v>126944172.06312956</v>
      </c>
      <c r="E12" s="34">
        <f t="shared" si="0"/>
        <v>142841232.80188641</v>
      </c>
      <c r="F12" s="34">
        <f t="shared" si="0"/>
        <v>160010639.18436116</v>
      </c>
      <c r="G12" s="34">
        <f t="shared" si="0"/>
        <v>178539883.12307867</v>
      </c>
      <c r="H12" s="34">
        <f t="shared" si="0"/>
        <v>198482267.81286964</v>
      </c>
      <c r="I12" s="34">
        <f t="shared" si="0"/>
        <v>219972541.26383203</v>
      </c>
    </row>
    <row r="13" spans="1:10">
      <c r="A13" s="396" t="s">
        <v>236</v>
      </c>
      <c r="B13" s="396"/>
      <c r="C13" s="35"/>
      <c r="D13" s="35"/>
      <c r="E13" s="35"/>
      <c r="F13" s="35"/>
      <c r="G13" s="35"/>
      <c r="H13" s="35"/>
      <c r="I13" s="35"/>
    </row>
    <row r="14" spans="1:10">
      <c r="A14" s="31">
        <v>1</v>
      </c>
      <c r="B14" s="31" t="s">
        <v>237</v>
      </c>
      <c r="C14" s="35"/>
      <c r="D14" s="35"/>
      <c r="E14" s="35"/>
      <c r="F14" s="35"/>
      <c r="G14" s="35"/>
      <c r="H14" s="35"/>
      <c r="I14" s="35"/>
    </row>
    <row r="15" spans="1:10">
      <c r="A15" s="36" t="s">
        <v>238</v>
      </c>
      <c r="B15" s="35" t="str">
        <f>'[1]Total Cost of Project'!C3</f>
        <v>Land and Building</v>
      </c>
      <c r="C15" s="37">
        <f>'1.Project Cost and MOF'!D5</f>
        <v>12472120</v>
      </c>
      <c r="D15" s="37"/>
      <c r="E15" s="37"/>
      <c r="F15" s="37"/>
      <c r="G15" s="37"/>
      <c r="H15" s="37"/>
      <c r="I15" s="37"/>
    </row>
    <row r="16" spans="1:10">
      <c r="A16" s="36" t="s">
        <v>239</v>
      </c>
      <c r="B16" s="38" t="str">
        <f>'[1]Total Cost of Project'!C4</f>
        <v>Machinery and Equipment</v>
      </c>
      <c r="C16" s="37">
        <f>'1.Project Cost and MOF'!D6</f>
        <v>12310000</v>
      </c>
      <c r="D16" s="37"/>
      <c r="E16" s="37"/>
      <c r="F16" s="37"/>
      <c r="G16" s="37"/>
      <c r="H16" s="37"/>
      <c r="I16" s="37"/>
    </row>
    <row r="17" spans="1:9">
      <c r="A17" s="36" t="s">
        <v>276</v>
      </c>
      <c r="B17" s="38" t="s">
        <v>333</v>
      </c>
      <c r="C17" s="37">
        <f>'1.Project Cost and MOF'!D7</f>
        <v>0</v>
      </c>
      <c r="D17" s="37"/>
      <c r="E17" s="37"/>
      <c r="F17" s="37"/>
      <c r="G17" s="37"/>
      <c r="H17" s="37"/>
      <c r="I17" s="37"/>
    </row>
    <row r="18" spans="1:9">
      <c r="A18" s="36" t="s">
        <v>278</v>
      </c>
      <c r="B18" s="38" t="s">
        <v>335</v>
      </c>
      <c r="C18" s="37">
        <f>'1.Project Cost and MOF'!D8</f>
        <v>0</v>
      </c>
      <c r="D18" s="37"/>
      <c r="E18" s="37"/>
      <c r="F18" s="37"/>
      <c r="G18" s="37"/>
      <c r="H18" s="37"/>
      <c r="I18" s="37"/>
    </row>
    <row r="19" spans="1:9">
      <c r="A19" s="36" t="s">
        <v>336</v>
      </c>
      <c r="B19" s="38" t="s">
        <v>277</v>
      </c>
      <c r="C19" s="37">
        <f>'1.Project Cost and MOF'!D9</f>
        <v>0</v>
      </c>
      <c r="D19" s="32"/>
      <c r="E19" s="32"/>
      <c r="F19" s="32"/>
      <c r="G19" s="32"/>
      <c r="H19" s="32"/>
      <c r="I19" s="32"/>
    </row>
    <row r="20" spans="1:9">
      <c r="A20" s="36" t="s">
        <v>337</v>
      </c>
      <c r="B20" s="38" t="s">
        <v>279</v>
      </c>
      <c r="C20" s="37">
        <f>'1.Project Cost and MOF'!D10</f>
        <v>1250000</v>
      </c>
      <c r="D20" s="32"/>
      <c r="E20" s="32"/>
      <c r="F20" s="32"/>
      <c r="G20" s="32"/>
      <c r="H20" s="32"/>
      <c r="I20" s="32"/>
    </row>
    <row r="21" spans="1:9">
      <c r="A21" s="31">
        <v>2</v>
      </c>
      <c r="B21" s="31" t="s">
        <v>240</v>
      </c>
      <c r="C21" s="35"/>
      <c r="D21" s="35"/>
      <c r="E21" s="35"/>
      <c r="F21" s="35"/>
      <c r="G21" s="35"/>
      <c r="H21" s="35"/>
      <c r="I21" s="35"/>
    </row>
    <row r="22" spans="1:9">
      <c r="A22" s="36" t="s">
        <v>238</v>
      </c>
      <c r="B22" s="35" t="s">
        <v>312</v>
      </c>
      <c r="C22" s="59">
        <f>'6.Cons Profit &amp; Loss'!B25</f>
        <v>92067893.177960008</v>
      </c>
      <c r="D22" s="59">
        <f>'6.Cons Profit &amp; Loss'!C25</f>
        <v>108897432.22856404</v>
      </c>
      <c r="E22" s="59">
        <f>'6.Cons Profit &amp; Loss'!D25</f>
        <v>122530982.52455555</v>
      </c>
      <c r="F22" s="59">
        <f>'6.Cons Profit &amp; Loss'!E25</f>
        <v>137255644.26957479</v>
      </c>
      <c r="G22" s="59">
        <f>'6.Cons Profit &amp; Loss'!F25</f>
        <v>153146444.73278463</v>
      </c>
      <c r="H22" s="59">
        <f>'6.Cons Profit &amp; Loss'!G25</f>
        <v>170283186.13164142</v>
      </c>
      <c r="I22" s="59">
        <f>'6.Cons Profit &amp; Loss'!H25</f>
        <v>188750735.55855194</v>
      </c>
    </row>
    <row r="23" spans="1:9">
      <c r="A23" s="36" t="s">
        <v>239</v>
      </c>
      <c r="B23" s="35" t="s">
        <v>310</v>
      </c>
      <c r="C23" s="32">
        <f>'6.Cons Profit &amp; Loss'!B36</f>
        <v>3296000</v>
      </c>
      <c r="D23" s="32">
        <f>'6.Cons Profit &amp; Loss'!C36</f>
        <v>3460800</v>
      </c>
      <c r="E23" s="32">
        <f>'6.Cons Profit &amp; Loss'!D36</f>
        <v>3633840</v>
      </c>
      <c r="F23" s="32">
        <f>'6.Cons Profit &amp; Loss'!E36</f>
        <v>3815532.0000000005</v>
      </c>
      <c r="G23" s="32">
        <f>'6.Cons Profit &amp; Loss'!F36</f>
        <v>4006308.6000000006</v>
      </c>
      <c r="H23" s="32">
        <f>'6.Cons Profit &amp; Loss'!G36</f>
        <v>4206624.0300000012</v>
      </c>
      <c r="I23" s="32">
        <f>'6.Cons Profit &amp; Loss'!H36</f>
        <v>4416955.2315000007</v>
      </c>
    </row>
    <row r="24" spans="1:9">
      <c r="A24" s="39">
        <v>3</v>
      </c>
      <c r="B24" s="31" t="s">
        <v>518</v>
      </c>
      <c r="C24" s="32"/>
      <c r="D24" s="32"/>
      <c r="E24" s="32"/>
      <c r="F24" s="32"/>
      <c r="G24" s="32"/>
      <c r="H24" s="32"/>
      <c r="I24" s="32"/>
    </row>
    <row r="25" spans="1:9">
      <c r="A25" s="36"/>
      <c r="B25" s="35" t="s">
        <v>241</v>
      </c>
      <c r="C25" s="32">
        <f>SUM('4.TL repayment sch'!E10:E21)</f>
        <v>423967.04048081377</v>
      </c>
      <c r="D25" s="32">
        <f>SUM('4.TL repayment sch'!E22:E33)</f>
        <v>931271.77004696662</v>
      </c>
      <c r="E25" s="32">
        <f>SUM('4.TL repayment sch'!E34:E45)</f>
        <v>1054587.0959747415</v>
      </c>
      <c r="F25" s="32">
        <f>SUM('4.TL repayment sch'!E46:E57)</f>
        <v>1194231.3498242837</v>
      </c>
      <c r="G25" s="32">
        <f>SUM('4.TL repayment sch'!E58:E69)</f>
        <v>1352366.7436731928</v>
      </c>
      <c r="H25" s="32">
        <f>SUM('4.TL repayment sch'!E70:E81)</f>
        <v>1531441.8011738975</v>
      </c>
      <c r="I25" s="32">
        <f>SUM('4.TL repayment sch'!E82:E93)</f>
        <v>1734229.2698004332</v>
      </c>
    </row>
    <row r="26" spans="1:9">
      <c r="A26" s="36"/>
      <c r="B26" s="35" t="s">
        <v>242</v>
      </c>
      <c r="C26" s="32">
        <f>SUM('4.TL repayment sch'!D10:D21)</f>
        <v>608645.66528530966</v>
      </c>
      <c r="D26" s="32">
        <f>SUM('4.TL repayment sch'!D22:D33)</f>
        <v>514400.64148528007</v>
      </c>
      <c r="E26" s="32">
        <f>SUM('4.TL repayment sch'!D34:D45)</f>
        <v>391085.31555750512</v>
      </c>
      <c r="F26" s="32">
        <f>SUM('4.TL repayment sch'!D46:D57)</f>
        <v>251441.06170796318</v>
      </c>
      <c r="G26" s="32">
        <f>SUM('4.TL repayment sch'!D58:D69)</f>
        <v>93305.667859053807</v>
      </c>
      <c r="H26" s="32">
        <f>SUM('4.TL repayment sch'!D70:D81)</f>
        <v>-85769.389641650632</v>
      </c>
      <c r="I26" s="32">
        <f>SUM('4.TL repayment sch'!D82:D93)</f>
        <v>-288556.85826818645</v>
      </c>
    </row>
    <row r="27" spans="1:9">
      <c r="A27" s="36"/>
      <c r="B27" s="35" t="s">
        <v>243</v>
      </c>
      <c r="C27" s="32">
        <f t="shared" ref="C27:I27" si="1">C11</f>
        <v>5166072.5784578631</v>
      </c>
      <c r="D27" s="32">
        <f t="shared" si="1"/>
        <v>7901157.9276575353</v>
      </c>
      <c r="E27" s="32">
        <f t="shared" si="1"/>
        <v>8889480.6379027814</v>
      </c>
      <c r="F27" s="32">
        <f t="shared" si="1"/>
        <v>9956882.7243534122</v>
      </c>
      <c r="G27" s="32">
        <f t="shared" si="1"/>
        <v>11108801.317854341</v>
      </c>
      <c r="H27" s="32">
        <f t="shared" si="1"/>
        <v>12349550.965932153</v>
      </c>
      <c r="I27" s="32">
        <f t="shared" si="1"/>
        <v>13686603.575523112</v>
      </c>
    </row>
    <row r="28" spans="1:9">
      <c r="A28" s="36"/>
      <c r="B28" s="35" t="s">
        <v>244</v>
      </c>
      <c r="C28" s="40">
        <f>C27*12%</f>
        <v>619928.70941494359</v>
      </c>
      <c r="D28" s="40">
        <f t="shared" ref="D28:G28" si="2">D27*12%</f>
        <v>948138.95131890418</v>
      </c>
      <c r="E28" s="40">
        <f t="shared" si="2"/>
        <v>1066737.6765483338</v>
      </c>
      <c r="F28" s="40">
        <f t="shared" si="2"/>
        <v>1194825.9269224093</v>
      </c>
      <c r="G28" s="40">
        <f t="shared" si="2"/>
        <v>1333056.1581425208</v>
      </c>
      <c r="H28" s="40">
        <f t="shared" ref="H28:I28" si="3">H27*12%</f>
        <v>1481946.1159118584</v>
      </c>
      <c r="I28" s="40">
        <f t="shared" si="3"/>
        <v>1642392.4290627735</v>
      </c>
    </row>
    <row r="29" spans="1:9">
      <c r="A29" s="31">
        <v>4</v>
      </c>
      <c r="B29" s="31" t="s">
        <v>245</v>
      </c>
      <c r="C29" s="32">
        <f>'6.Cons Profit &amp; Loss'!B50</f>
        <v>164453.86018353447</v>
      </c>
      <c r="D29" s="32">
        <f>'6.Cons Profit &amp; Loss'!C50</f>
        <v>592858.89366698975</v>
      </c>
      <c r="E29" s="32">
        <f>'6.Cons Profit &amp; Loss'!D50</f>
        <v>971039.85610378254</v>
      </c>
      <c r="F29" s="32">
        <f>'6.Cons Profit &amp; Loss'!E50</f>
        <v>1363209.5987386741</v>
      </c>
      <c r="G29" s="32">
        <f>'6.Cons Profit &amp; Loss'!F50</f>
        <v>1773144.4412794148</v>
      </c>
      <c r="H29" s="32">
        <f>'6.Cons Profit &amp; Loss'!G50</f>
        <v>2259650.090259796</v>
      </c>
      <c r="I29" s="32">
        <f>'6.Cons Profit &amp; Loss'!H50</f>
        <v>2705348.1401358983</v>
      </c>
    </row>
    <row r="30" spans="1:9">
      <c r="A30" s="31"/>
      <c r="B30" s="31" t="s">
        <v>246</v>
      </c>
      <c r="C30" s="41">
        <f t="shared" ref="C30:I30" si="4">SUM(C15:C29)</f>
        <v>128379081.03178246</v>
      </c>
      <c r="D30" s="41">
        <f t="shared" si="4"/>
        <v>123246060.41273969</v>
      </c>
      <c r="E30" s="41">
        <f t="shared" si="4"/>
        <v>138537753.10664269</v>
      </c>
      <c r="F30" s="41">
        <f t="shared" si="4"/>
        <v>155031766.93112153</v>
      </c>
      <c r="G30" s="41">
        <f t="shared" si="4"/>
        <v>172813427.66159314</v>
      </c>
      <c r="H30" s="41">
        <f t="shared" si="4"/>
        <v>192026629.74527749</v>
      </c>
      <c r="I30" s="41">
        <f t="shared" si="4"/>
        <v>212647707.34630594</v>
      </c>
    </row>
    <row r="31" spans="1:9">
      <c r="A31" s="31"/>
      <c r="B31" s="31" t="s">
        <v>247</v>
      </c>
      <c r="C31" s="41">
        <f t="shared" ref="C31:I31" si="5">C12-C30</f>
        <v>5109830.1390146911</v>
      </c>
      <c r="D31" s="41">
        <f t="shared" si="5"/>
        <v>3698111.650389865</v>
      </c>
      <c r="E31" s="41">
        <f t="shared" si="5"/>
        <v>4303479.6952437162</v>
      </c>
      <c r="F31" s="41">
        <f t="shared" si="5"/>
        <v>4978872.2532396317</v>
      </c>
      <c r="G31" s="41">
        <f t="shared" si="5"/>
        <v>5726455.4614855349</v>
      </c>
      <c r="H31" s="41">
        <f t="shared" si="5"/>
        <v>6455638.067592144</v>
      </c>
      <c r="I31" s="41">
        <f t="shared" si="5"/>
        <v>7324833.9175260961</v>
      </c>
    </row>
    <row r="32" spans="1:9">
      <c r="A32" s="39"/>
      <c r="B32" s="35" t="s">
        <v>248</v>
      </c>
      <c r="C32" s="35"/>
      <c r="D32" s="42">
        <f t="shared" ref="D32:I32" si="6">C33</f>
        <v>5109830.1390146911</v>
      </c>
      <c r="E32" s="42">
        <f t="shared" si="6"/>
        <v>8807941.7894045562</v>
      </c>
      <c r="F32" s="42">
        <f t="shared" si="6"/>
        <v>13111421.484648272</v>
      </c>
      <c r="G32" s="42">
        <f t="shared" si="6"/>
        <v>18090293.737887904</v>
      </c>
      <c r="H32" s="42">
        <f t="shared" si="6"/>
        <v>23816749.199373439</v>
      </c>
      <c r="I32" s="42">
        <f t="shared" si="6"/>
        <v>30272387.266965583</v>
      </c>
    </row>
    <row r="33" spans="1:10">
      <c r="A33" s="31"/>
      <c r="B33" s="43" t="s">
        <v>249</v>
      </c>
      <c r="C33" s="41">
        <f t="shared" ref="C33:I33" si="7">C31+C32</f>
        <v>5109830.1390146911</v>
      </c>
      <c r="D33" s="41">
        <f t="shared" si="7"/>
        <v>8807941.7894045562</v>
      </c>
      <c r="E33" s="41">
        <f t="shared" si="7"/>
        <v>13111421.484648272</v>
      </c>
      <c r="F33" s="41">
        <f t="shared" si="7"/>
        <v>18090293.737887904</v>
      </c>
      <c r="G33" s="41">
        <f t="shared" si="7"/>
        <v>23816749.199373439</v>
      </c>
      <c r="H33" s="41">
        <f t="shared" si="7"/>
        <v>30272387.266965583</v>
      </c>
      <c r="I33" s="41">
        <f t="shared" si="7"/>
        <v>37597221.184491679</v>
      </c>
    </row>
    <row r="35" spans="1:10" ht="39.950000000000003" customHeight="1">
      <c r="A35" s="397" t="s">
        <v>417</v>
      </c>
      <c r="B35" s="397"/>
      <c r="C35" s="397"/>
      <c r="D35" s="397"/>
      <c r="E35" s="397"/>
      <c r="F35" s="397"/>
      <c r="G35" s="397"/>
      <c r="H35" s="397"/>
      <c r="I35" s="397"/>
      <c r="J35" s="397"/>
    </row>
    <row r="37" spans="1:10">
      <c r="C37" s="53"/>
    </row>
    <row r="38" spans="1:10">
      <c r="C38" s="53"/>
    </row>
    <row r="39" spans="1:10">
      <c r="C39" s="53"/>
    </row>
    <row r="40" spans="1:10">
      <c r="C40" s="53"/>
    </row>
    <row r="41" spans="1:10">
      <c r="C41" s="53"/>
    </row>
  </sheetData>
  <mergeCells count="4">
    <mergeCell ref="A1:G1"/>
    <mergeCell ref="A13:B13"/>
    <mergeCell ref="A2:I2"/>
    <mergeCell ref="A35:J35"/>
  </mergeCells>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2023-06-10T09:55:18Z</dcterms:modified>
</cp:coreProperties>
</file>